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80" windowWidth="21840" windowHeight="13140" tabRatio="842" activeTab="1"/>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7" r:id="rId17"/>
    <sheet name="17.Facility 6 Horti Processing " sheetId="18" r:id="rId18"/>
    <sheet name="Sheet1" sheetId="19" r:id="rId19"/>
  </sheets>
  <externalReferences>
    <externalReference r:id="rId20"/>
    <externalReference r:id="rId21"/>
  </externalReferenc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6" i="2" l="1"/>
  <c r="K142" i="14" l="1"/>
  <c r="K143" i="14" s="1"/>
  <c r="J25" i="14" l="1"/>
  <c r="J26" i="14"/>
  <c r="C91" i="11" l="1"/>
  <c r="D91" i="11" s="1"/>
  <c r="E91" i="11" s="1"/>
  <c r="F91" i="11" s="1"/>
  <c r="G91" i="11" s="1"/>
  <c r="H91" i="11" s="1"/>
  <c r="B102" i="11"/>
  <c r="C23" i="11"/>
  <c r="D25" i="11" s="1"/>
  <c r="B104" i="11" s="1"/>
  <c r="E14" i="4"/>
  <c r="D15" i="11"/>
  <c r="F15" i="11" s="1"/>
  <c r="D181" i="18"/>
  <c r="D180" i="18"/>
  <c r="A156" i="18"/>
  <c r="A155" i="18"/>
  <c r="A154" i="18"/>
  <c r="E149" i="18"/>
  <c r="B41" i="18"/>
  <c r="C40" i="18"/>
  <c r="C41" i="18" s="1"/>
  <c r="H33" i="18"/>
  <c r="H32" i="18"/>
  <c r="H31" i="18"/>
  <c r="D268" i="17"/>
  <c r="D267" i="17"/>
  <c r="D266" i="17"/>
  <c r="D265" i="17"/>
  <c r="A251" i="17"/>
  <c r="A250" i="17"/>
  <c r="A249" i="17"/>
  <c r="A247" i="17"/>
  <c r="A246" i="17"/>
  <c r="A245" i="17"/>
  <c r="A244" i="17"/>
  <c r="D243" i="17"/>
  <c r="D214" i="17"/>
  <c r="D205" i="17"/>
  <c r="A195" i="17"/>
  <c r="C182" i="17"/>
  <c r="A179" i="17"/>
  <c r="A243" i="17" s="1"/>
  <c r="A138" i="17"/>
  <c r="A205" i="17" s="1"/>
  <c r="A129" i="17"/>
  <c r="E124" i="17"/>
  <c r="A70" i="17"/>
  <c r="A61" i="17"/>
  <c r="A32" i="17"/>
  <c r="A153" i="17" s="1"/>
  <c r="A220" i="17" s="1"/>
  <c r="I31" i="17"/>
  <c r="I84" i="17" s="1"/>
  <c r="H31" i="17"/>
  <c r="H84" i="17" s="1"/>
  <c r="G31" i="17"/>
  <c r="G84" i="17" s="1"/>
  <c r="F31" i="17"/>
  <c r="F84" i="17" s="1"/>
  <c r="E31" i="17"/>
  <c r="E84" i="17" s="1"/>
  <c r="D31" i="17"/>
  <c r="D84" i="17" s="1"/>
  <c r="C31" i="17"/>
  <c r="C84" i="17" s="1"/>
  <c r="A31" i="17"/>
  <c r="A26" i="17"/>
  <c r="A79" i="17" s="1"/>
  <c r="E52" i="16"/>
  <c r="E56" i="16" s="1"/>
  <c r="B31" i="7" s="1"/>
  <c r="D38" i="16"/>
  <c r="C38" i="16"/>
  <c r="D37" i="16"/>
  <c r="C37" i="16"/>
  <c r="D36" i="16"/>
  <c r="C36" i="16"/>
  <c r="D35" i="16"/>
  <c r="C35" i="16"/>
  <c r="D34" i="16"/>
  <c r="C34" i="16"/>
  <c r="D33" i="16"/>
  <c r="C33" i="16"/>
  <c r="D32" i="16"/>
  <c r="A32" i="16"/>
  <c r="D31" i="16"/>
  <c r="A31" i="16"/>
  <c r="D30" i="16"/>
  <c r="A30" i="16"/>
  <c r="D29" i="16"/>
  <c r="A29" i="16"/>
  <c r="D28" i="16"/>
  <c r="A28" i="16"/>
  <c r="F23" i="16"/>
  <c r="F52" i="16" s="1"/>
  <c r="F56" i="16" s="1"/>
  <c r="C31" i="7" s="1"/>
  <c r="M17" i="16"/>
  <c r="J17" i="16"/>
  <c r="F17" i="16"/>
  <c r="M16" i="16"/>
  <c r="J16" i="16"/>
  <c r="F16" i="16"/>
  <c r="M15" i="16"/>
  <c r="J15" i="16"/>
  <c r="F15" i="16"/>
  <c r="M14" i="16"/>
  <c r="J14" i="16"/>
  <c r="F14" i="16"/>
  <c r="M13" i="16"/>
  <c r="J13" i="16"/>
  <c r="F13" i="16"/>
  <c r="M12" i="16"/>
  <c r="F12" i="16"/>
  <c r="H12" i="16" s="1"/>
  <c r="M11" i="16"/>
  <c r="F11" i="16"/>
  <c r="H11" i="16" s="1"/>
  <c r="J11" i="16" s="1"/>
  <c r="M10" i="16"/>
  <c r="F10" i="16"/>
  <c r="H10" i="16" s="1"/>
  <c r="M9" i="16"/>
  <c r="F9" i="16"/>
  <c r="H9" i="16" s="1"/>
  <c r="J9" i="16" s="1"/>
  <c r="M8" i="16"/>
  <c r="F8" i="16"/>
  <c r="H8" i="16" s="1"/>
  <c r="D37" i="15"/>
  <c r="D43" i="15" s="1"/>
  <c r="B30" i="7" s="1"/>
  <c r="C29" i="15"/>
  <c r="D28" i="15"/>
  <c r="D27" i="15"/>
  <c r="E17" i="15"/>
  <c r="E37" i="15" s="1"/>
  <c r="E43" i="15" s="1"/>
  <c r="B10" i="15"/>
  <c r="D21" i="15" s="1"/>
  <c r="D23" i="15" s="1"/>
  <c r="C9" i="15"/>
  <c r="C10" i="15" s="1"/>
  <c r="D172" i="14"/>
  <c r="D177" i="14" s="1"/>
  <c r="B29" i="7" s="1"/>
  <c r="K145" i="14"/>
  <c r="A121" i="14"/>
  <c r="B34" i="14"/>
  <c r="C33" i="14"/>
  <c r="D294" i="13"/>
  <c r="D301" i="13" s="1"/>
  <c r="B28" i="7" s="1"/>
  <c r="D280" i="13"/>
  <c r="A280" i="13"/>
  <c r="D279" i="13"/>
  <c r="A279" i="13"/>
  <c r="D255" i="13"/>
  <c r="A255" i="13"/>
  <c r="A254" i="13"/>
  <c r="E172" i="13"/>
  <c r="E294" i="13" s="1"/>
  <c r="E301" i="13" s="1"/>
  <c r="C28" i="7" s="1"/>
  <c r="H164" i="13"/>
  <c r="G164" i="13"/>
  <c r="F164" i="13"/>
  <c r="E164" i="13"/>
  <c r="D164" i="13"/>
  <c r="C164" i="13"/>
  <c r="B164" i="13"/>
  <c r="D223" i="13" s="1"/>
  <c r="H163" i="13"/>
  <c r="G163" i="13"/>
  <c r="F163" i="13"/>
  <c r="E163" i="13"/>
  <c r="D163" i="13"/>
  <c r="C163" i="13"/>
  <c r="B163" i="13"/>
  <c r="D222" i="13" s="1"/>
  <c r="H162" i="13"/>
  <c r="G162" i="13"/>
  <c r="F162" i="13"/>
  <c r="E162" i="13"/>
  <c r="D162" i="13"/>
  <c r="C162" i="13"/>
  <c r="B162" i="13"/>
  <c r="D221" i="13" s="1"/>
  <c r="A34" i="13"/>
  <c r="A91" i="13" s="1"/>
  <c r="A143" i="13" s="1"/>
  <c r="A202" i="13" s="1"/>
  <c r="A256" i="13" s="1"/>
  <c r="H32" i="13"/>
  <c r="H89" i="13" s="1"/>
  <c r="G32" i="13"/>
  <c r="G89" i="13" s="1"/>
  <c r="F32" i="13"/>
  <c r="F89" i="13" s="1"/>
  <c r="F141" i="13" s="1"/>
  <c r="E32" i="13"/>
  <c r="E89" i="13" s="1"/>
  <c r="D32" i="13"/>
  <c r="D89" i="13" s="1"/>
  <c r="C32" i="13"/>
  <c r="C89" i="13" s="1"/>
  <c r="E254" i="13" s="1"/>
  <c r="B32" i="13"/>
  <c r="B89" i="13" s="1"/>
  <c r="B141" i="13" s="1"/>
  <c r="D199" i="13" s="1"/>
  <c r="A32" i="13"/>
  <c r="A89" i="13" s="1"/>
  <c r="A141" i="13" s="1"/>
  <c r="C100" i="12"/>
  <c r="D100" i="12" s="1"/>
  <c r="E100" i="12" s="1"/>
  <c r="F100" i="12" s="1"/>
  <c r="G100" i="12" s="1"/>
  <c r="H100" i="12" s="1"/>
  <c r="C74" i="12"/>
  <c r="C13" i="18" s="1"/>
  <c r="C72" i="12"/>
  <c r="D72" i="12" s="1"/>
  <c r="E72" i="12" s="1"/>
  <c r="F72" i="12" s="1"/>
  <c r="G72" i="12" s="1"/>
  <c r="H72" i="12" s="1"/>
  <c r="A70" i="12"/>
  <c r="A98" i="12" s="1"/>
  <c r="A69" i="12"/>
  <c r="A97" i="12" s="1"/>
  <c r="A68" i="12"/>
  <c r="A96" i="12" s="1"/>
  <c r="A67" i="12"/>
  <c r="A95" i="12" s="1"/>
  <c r="A66" i="12"/>
  <c r="A55" i="13" s="1"/>
  <c r="A112" i="13" s="1"/>
  <c r="A164" i="13" s="1"/>
  <c r="A223" i="13" s="1"/>
  <c r="A65" i="12"/>
  <c r="A64" i="12"/>
  <c r="A63" i="12"/>
  <c r="A62" i="12"/>
  <c r="A61" i="12"/>
  <c r="A60" i="12"/>
  <c r="A59" i="12"/>
  <c r="A58" i="12"/>
  <c r="A57" i="12"/>
  <c r="A56" i="12"/>
  <c r="A55" i="12"/>
  <c r="A54" i="12"/>
  <c r="A53" i="12"/>
  <c r="A52" i="12"/>
  <c r="A51" i="12"/>
  <c r="A50" i="12"/>
  <c r="A49" i="12"/>
  <c r="A48" i="12"/>
  <c r="A47" i="12"/>
  <c r="A46" i="12"/>
  <c r="C44" i="12"/>
  <c r="D44" i="12" s="1"/>
  <c r="E44" i="12" s="1"/>
  <c r="F44" i="12" s="1"/>
  <c r="G44" i="12" s="1"/>
  <c r="H44" i="12" s="1"/>
  <c r="V12" i="12"/>
  <c r="W12" i="12" s="1"/>
  <c r="X12" i="12" s="1"/>
  <c r="P12" i="12"/>
  <c r="Q12" i="12" s="1"/>
  <c r="R12" i="12" s="1"/>
  <c r="S12" i="12" s="1"/>
  <c r="T12" i="12" s="1"/>
  <c r="K12" i="12"/>
  <c r="L12" i="12" s="1"/>
  <c r="M12" i="12" s="1"/>
  <c r="N12" i="12" s="1"/>
  <c r="B7" i="12"/>
  <c r="B9" i="12" s="1"/>
  <c r="B114" i="11"/>
  <c r="C30" i="17" s="1"/>
  <c r="C83" i="17" s="1"/>
  <c r="A62" i="11"/>
  <c r="A31" i="13" s="1"/>
  <c r="A88" i="13" s="1"/>
  <c r="A140" i="13" s="1"/>
  <c r="A198" i="13" s="1"/>
  <c r="A253" i="13" s="1"/>
  <c r="A61" i="11"/>
  <c r="A30" i="13" s="1"/>
  <c r="A87" i="13" s="1"/>
  <c r="A139" i="13" s="1"/>
  <c r="A197" i="13" s="1"/>
  <c r="A252" i="13" s="1"/>
  <c r="A60" i="11"/>
  <c r="A29" i="13" s="1"/>
  <c r="A86" i="13" s="1"/>
  <c r="A138" i="13" s="1"/>
  <c r="A196" i="13" s="1"/>
  <c r="A251" i="13" s="1"/>
  <c r="A59" i="11"/>
  <c r="A28" i="13" s="1"/>
  <c r="A85" i="13" s="1"/>
  <c r="A137" i="13" s="1"/>
  <c r="A195" i="13" s="1"/>
  <c r="A250" i="13" s="1"/>
  <c r="A58" i="11"/>
  <c r="A27" i="13" s="1"/>
  <c r="A84" i="13" s="1"/>
  <c r="A136" i="13" s="1"/>
  <c r="A194" i="13" s="1"/>
  <c r="A249" i="13" s="1"/>
  <c r="A57" i="11"/>
  <c r="A26" i="13" s="1"/>
  <c r="A83" i="13" s="1"/>
  <c r="A135" i="13" s="1"/>
  <c r="A193" i="13" s="1"/>
  <c r="A248" i="13" s="1"/>
  <c r="A56" i="11"/>
  <c r="A25" i="13" s="1"/>
  <c r="A82" i="13" s="1"/>
  <c r="A134" i="13" s="1"/>
  <c r="A192" i="13" s="1"/>
  <c r="A247" i="13" s="1"/>
  <c r="A55" i="11"/>
  <c r="A24" i="13" s="1"/>
  <c r="A81" i="13" s="1"/>
  <c r="A133" i="13" s="1"/>
  <c r="A191" i="13" s="1"/>
  <c r="A246" i="13" s="1"/>
  <c r="A54" i="11"/>
  <c r="A23" i="13" s="1"/>
  <c r="A80" i="13" s="1"/>
  <c r="A132" i="13" s="1"/>
  <c r="A190" i="13" s="1"/>
  <c r="A245" i="13" s="1"/>
  <c r="A53" i="11"/>
  <c r="A22" i="13" s="1"/>
  <c r="A79" i="13" s="1"/>
  <c r="A131" i="13" s="1"/>
  <c r="A189" i="13" s="1"/>
  <c r="A244" i="13" s="1"/>
  <c r="A52" i="11"/>
  <c r="A21" i="13" s="1"/>
  <c r="A78" i="13" s="1"/>
  <c r="A130" i="13" s="1"/>
  <c r="A188" i="13" s="1"/>
  <c r="A243" i="13" s="1"/>
  <c r="A51" i="11"/>
  <c r="A20" i="13" s="1"/>
  <c r="A77" i="13" s="1"/>
  <c r="A129" i="13" s="1"/>
  <c r="A187" i="13" s="1"/>
  <c r="A242" i="13" s="1"/>
  <c r="A50" i="11"/>
  <c r="A19" i="13" s="1"/>
  <c r="A76" i="13" s="1"/>
  <c r="A128" i="13" s="1"/>
  <c r="A186" i="13" s="1"/>
  <c r="A241" i="13" s="1"/>
  <c r="A49" i="11"/>
  <c r="A18" i="13" s="1"/>
  <c r="A75" i="13" s="1"/>
  <c r="A127" i="13" s="1"/>
  <c r="A185" i="13" s="1"/>
  <c r="A240" i="13" s="1"/>
  <c r="A48" i="11"/>
  <c r="A17" i="13" s="1"/>
  <c r="A74" i="13" s="1"/>
  <c r="A126" i="13" s="1"/>
  <c r="A184" i="13" s="1"/>
  <c r="A239" i="13" s="1"/>
  <c r="A47" i="11"/>
  <c r="A16" i="13" s="1"/>
  <c r="A73" i="13" s="1"/>
  <c r="A125" i="13" s="1"/>
  <c r="A183" i="13" s="1"/>
  <c r="A238" i="13" s="1"/>
  <c r="A46" i="11"/>
  <c r="A15" i="13" s="1"/>
  <c r="A72" i="13" s="1"/>
  <c r="A124" i="13" s="1"/>
  <c r="A182" i="13" s="1"/>
  <c r="A237" i="13" s="1"/>
  <c r="A45" i="11"/>
  <c r="A14" i="13" s="1"/>
  <c r="A71" i="13" s="1"/>
  <c r="A123" i="13" s="1"/>
  <c r="A181" i="13" s="1"/>
  <c r="A236" i="13" s="1"/>
  <c r="A44" i="11"/>
  <c r="A13" i="13" s="1"/>
  <c r="A70" i="13" s="1"/>
  <c r="A122" i="13" s="1"/>
  <c r="A180" i="13" s="1"/>
  <c r="A235" i="13" s="1"/>
  <c r="A43" i="11"/>
  <c r="A12" i="13" s="1"/>
  <c r="A69" i="13" s="1"/>
  <c r="A121" i="13" s="1"/>
  <c r="A179" i="13" s="1"/>
  <c r="A234" i="13" s="1"/>
  <c r="A42" i="11"/>
  <c r="A11" i="13" s="1"/>
  <c r="A68" i="13" s="1"/>
  <c r="A120" i="13" s="1"/>
  <c r="A178" i="13" s="1"/>
  <c r="A233" i="13" s="1"/>
  <c r="B7" i="11"/>
  <c r="I174" i="10"/>
  <c r="H174" i="10"/>
  <c r="G174" i="10"/>
  <c r="F174" i="10"/>
  <c r="E174" i="10"/>
  <c r="D174" i="10"/>
  <c r="C174" i="10"/>
  <c r="I159" i="10"/>
  <c r="H159" i="10"/>
  <c r="G159" i="10"/>
  <c r="F159" i="10"/>
  <c r="E159" i="10"/>
  <c r="D159" i="10"/>
  <c r="C159" i="10"/>
  <c r="I144" i="10"/>
  <c r="H144" i="10"/>
  <c r="G144" i="10"/>
  <c r="F144" i="10"/>
  <c r="E144" i="10"/>
  <c r="D144" i="10"/>
  <c r="C144" i="10"/>
  <c r="I129" i="10"/>
  <c r="H129" i="10"/>
  <c r="G129" i="10"/>
  <c r="F129" i="10"/>
  <c r="E129" i="10"/>
  <c r="D129" i="10"/>
  <c r="C129" i="10"/>
  <c r="B129" i="10"/>
  <c r="B144" i="10" s="1"/>
  <c r="B159" i="10" s="1"/>
  <c r="B174" i="10" s="1"/>
  <c r="B128" i="10"/>
  <c r="B143" i="10" s="1"/>
  <c r="B158" i="10" s="1"/>
  <c r="B173" i="10" s="1"/>
  <c r="B127" i="10"/>
  <c r="B142" i="10" s="1"/>
  <c r="B157" i="10" s="1"/>
  <c r="B172" i="10" s="1"/>
  <c r="B126" i="10"/>
  <c r="B141" i="10" s="1"/>
  <c r="B156" i="10" s="1"/>
  <c r="B171" i="10" s="1"/>
  <c r="B125" i="10"/>
  <c r="B140" i="10" s="1"/>
  <c r="B155" i="10" s="1"/>
  <c r="B170" i="10" s="1"/>
  <c r="B124" i="10"/>
  <c r="B139" i="10" s="1"/>
  <c r="B154" i="10" s="1"/>
  <c r="B169" i="10" s="1"/>
  <c r="B123" i="10"/>
  <c r="B138" i="10" s="1"/>
  <c r="B153" i="10" s="1"/>
  <c r="B168" i="10" s="1"/>
  <c r="B95" i="10"/>
  <c r="B94" i="10"/>
  <c r="B93" i="10"/>
  <c r="B92" i="10"/>
  <c r="C65" i="10"/>
  <c r="D65" i="10" s="1"/>
  <c r="E65" i="10" s="1"/>
  <c r="F65" i="10" s="1"/>
  <c r="G65" i="10" s="1"/>
  <c r="H65" i="10" s="1"/>
  <c r="I65" i="10" s="1"/>
  <c r="B37" i="10"/>
  <c r="B36" i="10"/>
  <c r="B35" i="10"/>
  <c r="B34" i="10"/>
  <c r="B33" i="10"/>
  <c r="B32" i="10"/>
  <c r="B9" i="9"/>
  <c r="H28" i="8"/>
  <c r="H27" i="8"/>
  <c r="G27" i="8"/>
  <c r="F27" i="8"/>
  <c r="E27" i="8"/>
  <c r="D27" i="8"/>
  <c r="C27" i="8"/>
  <c r="B27" i="8"/>
  <c r="H43" i="7"/>
  <c r="G43" i="7"/>
  <c r="C30" i="7"/>
  <c r="A23" i="7"/>
  <c r="A33" i="7" s="1"/>
  <c r="A22" i="7"/>
  <c r="A32" i="7" s="1"/>
  <c r="A21" i="7"/>
  <c r="A31" i="7" s="1"/>
  <c r="A20" i="7"/>
  <c r="A30" i="7" s="1"/>
  <c r="A19" i="7"/>
  <c r="A29" i="7" s="1"/>
  <c r="A18" i="7"/>
  <c r="A28" i="7" s="1"/>
  <c r="C52" i="6"/>
  <c r="C51" i="6"/>
  <c r="C50" i="6"/>
  <c r="C49" i="6"/>
  <c r="C48" i="6"/>
  <c r="C47" i="6"/>
  <c r="C17" i="6"/>
  <c r="C16" i="6"/>
  <c r="C15" i="6"/>
  <c r="V13" i="6"/>
  <c r="U13" i="6"/>
  <c r="O13" i="6"/>
  <c r="P13" i="6" s="1"/>
  <c r="Q13" i="6" s="1"/>
  <c r="R13" i="6" s="1"/>
  <c r="N13" i="6"/>
  <c r="V12" i="6"/>
  <c r="U12" i="6"/>
  <c r="O12" i="6"/>
  <c r="P12" i="6" s="1"/>
  <c r="Q12" i="6" s="1"/>
  <c r="R12" i="6" s="1"/>
  <c r="N12" i="6"/>
  <c r="U11" i="6"/>
  <c r="N11" i="6"/>
  <c r="V10" i="6"/>
  <c r="U10" i="6"/>
  <c r="O10" i="6"/>
  <c r="P10" i="6" s="1"/>
  <c r="Q10" i="6" s="1"/>
  <c r="R10" i="6" s="1"/>
  <c r="N10" i="6"/>
  <c r="V9" i="6"/>
  <c r="U9" i="6"/>
  <c r="O9" i="6"/>
  <c r="P9" i="6" s="1"/>
  <c r="Q9" i="6" s="1"/>
  <c r="R9" i="6" s="1"/>
  <c r="N9" i="6"/>
  <c r="C9" i="6"/>
  <c r="V8" i="6"/>
  <c r="R8" i="6"/>
  <c r="Q8" i="6"/>
  <c r="P8" i="6"/>
  <c r="O8" i="6"/>
  <c r="I87" i="4"/>
  <c r="H87" i="4"/>
  <c r="A64" i="4"/>
  <c r="A63" i="4"/>
  <c r="A62" i="4"/>
  <c r="A61" i="4"/>
  <c r="E22" i="4"/>
  <c r="E21" i="4"/>
  <c r="E20" i="4"/>
  <c r="E19" i="4"/>
  <c r="E18" i="4"/>
  <c r="E17" i="4"/>
  <c r="E16" i="4"/>
  <c r="E15" i="4"/>
  <c r="E13" i="4"/>
  <c r="E12" i="4"/>
  <c r="E11" i="4"/>
  <c r="E10" i="4"/>
  <c r="E9" i="4"/>
  <c r="E8" i="4"/>
  <c r="F4" i="4"/>
  <c r="F20" i="4" s="1"/>
  <c r="D115" i="3"/>
  <c r="D10" i="2" s="1"/>
  <c r="D86" i="4" s="1"/>
  <c r="F102" i="3"/>
  <c r="F101" i="3"/>
  <c r="F100" i="3"/>
  <c r="F91" i="3"/>
  <c r="F90" i="3"/>
  <c r="F89" i="3"/>
  <c r="F88" i="3"/>
  <c r="F87" i="3"/>
  <c r="F77" i="3"/>
  <c r="F76" i="3"/>
  <c r="F75" i="3"/>
  <c r="F74" i="3"/>
  <c r="F73" i="3"/>
  <c r="H61" i="3"/>
  <c r="B166" i="18" s="1"/>
  <c r="G60" i="3"/>
  <c r="G59" i="3"/>
  <c r="G58" i="3"/>
  <c r="G57" i="3"/>
  <c r="H55" i="3"/>
  <c r="B283" i="13" s="1"/>
  <c r="G54" i="3"/>
  <c r="G53" i="3"/>
  <c r="G52" i="3"/>
  <c r="G51" i="3"/>
  <c r="G50" i="3"/>
  <c r="G49" i="3"/>
  <c r="H47" i="3"/>
  <c r="O11" i="6" s="1"/>
  <c r="P11" i="6" s="1"/>
  <c r="Q11" i="6" s="1"/>
  <c r="R11" i="6" s="1"/>
  <c r="G46" i="3"/>
  <c r="G45" i="3"/>
  <c r="G44" i="3"/>
  <c r="G43" i="3"/>
  <c r="G42" i="3"/>
  <c r="G41" i="3"/>
  <c r="G40" i="3"/>
  <c r="G39" i="3"/>
  <c r="H32" i="3"/>
  <c r="G31" i="3"/>
  <c r="G30" i="3"/>
  <c r="G29" i="3"/>
  <c r="G28" i="3"/>
  <c r="G27" i="3"/>
  <c r="G26" i="3"/>
  <c r="G25" i="3"/>
  <c r="G24" i="3"/>
  <c r="G23" i="3"/>
  <c r="G22" i="3"/>
  <c r="G21" i="3"/>
  <c r="G11" i="3"/>
  <c r="G10" i="3"/>
  <c r="G9" i="3"/>
  <c r="G8" i="3"/>
  <c r="C10" i="2"/>
  <c r="C9" i="2"/>
  <c r="C8" i="2"/>
  <c r="C7" i="2"/>
  <c r="C6" i="2"/>
  <c r="C5" i="2"/>
  <c r="G12" i="3" l="1"/>
  <c r="E21" i="15"/>
  <c r="E23" i="15" s="1"/>
  <c r="E221" i="13"/>
  <c r="A83" i="11"/>
  <c r="A28" i="14" s="1"/>
  <c r="A52" i="14" s="1"/>
  <c r="A109" i="14" s="1"/>
  <c r="A68" i="11"/>
  <c r="A13" i="14" s="1"/>
  <c r="A37" i="14" s="1"/>
  <c r="A58" i="14" s="1"/>
  <c r="A84" i="11"/>
  <c r="B94" i="11"/>
  <c r="A75" i="11"/>
  <c r="A20" i="14" s="1"/>
  <c r="A44" i="14" s="1"/>
  <c r="A83" i="14" s="1"/>
  <c r="F172" i="13"/>
  <c r="G172" i="13" s="1"/>
  <c r="E255" i="13"/>
  <c r="D9" i="15"/>
  <c r="D10" i="15" s="1"/>
  <c r="A76" i="11"/>
  <c r="A21" i="14" s="1"/>
  <c r="A45" i="14" s="1"/>
  <c r="A87" i="14" s="1"/>
  <c r="C34" i="14"/>
  <c r="D33" i="14"/>
  <c r="B10" i="7"/>
  <c r="E38" i="6"/>
  <c r="A71" i="11"/>
  <c r="A16" i="14" s="1"/>
  <c r="A40" i="14" s="1"/>
  <c r="A69" i="14" s="1"/>
  <c r="A79" i="11"/>
  <c r="A24" i="14" s="1"/>
  <c r="A48" i="14" s="1"/>
  <c r="A97" i="14" s="1"/>
  <c r="A87" i="11"/>
  <c r="A112" i="11" s="1"/>
  <c r="A29" i="17" s="1"/>
  <c r="C44" i="16"/>
  <c r="E44" i="16" s="1"/>
  <c r="G23" i="16"/>
  <c r="F35" i="16"/>
  <c r="F92" i="3"/>
  <c r="D8" i="2" s="1"/>
  <c r="F8" i="2" s="1"/>
  <c r="E23" i="4"/>
  <c r="B35" i="7" s="1"/>
  <c r="A72" i="11"/>
  <c r="A17" i="14" s="1"/>
  <c r="A41" i="14" s="1"/>
  <c r="A72" i="14" s="1"/>
  <c r="A80" i="11"/>
  <c r="A25" i="14" s="1"/>
  <c r="A49" i="14" s="1"/>
  <c r="A100" i="14" s="1"/>
  <c r="A88" i="11"/>
  <c r="A113" i="11" s="1"/>
  <c r="A30" i="17" s="1"/>
  <c r="F254" i="13"/>
  <c r="E36" i="16"/>
  <c r="D185" i="18"/>
  <c r="B33" i="7" s="1"/>
  <c r="F78" i="3"/>
  <c r="D7" i="2" s="1"/>
  <c r="C17" i="9" s="1"/>
  <c r="E172" i="14"/>
  <c r="E177" i="14" s="1"/>
  <c r="C29" i="7" s="1"/>
  <c r="F133" i="14"/>
  <c r="F172" i="14" s="1"/>
  <c r="F177" i="14" s="1"/>
  <c r="D29" i="7" s="1"/>
  <c r="F38" i="6"/>
  <c r="C10" i="7"/>
  <c r="D34" i="10" s="1"/>
  <c r="G61" i="3"/>
  <c r="A69" i="11"/>
  <c r="A14" i="14" s="1"/>
  <c r="A38" i="14" s="1"/>
  <c r="A62" i="14" s="1"/>
  <c r="A73" i="11"/>
  <c r="A18" i="14" s="1"/>
  <c r="A42" i="14" s="1"/>
  <c r="A77" i="14" s="1"/>
  <c r="A77" i="11"/>
  <c r="A22" i="14" s="1"/>
  <c r="A46" i="14" s="1"/>
  <c r="A91" i="14" s="1"/>
  <c r="A81" i="11"/>
  <c r="A26" i="14" s="1"/>
  <c r="A50" i="14" s="1"/>
  <c r="A103" i="14" s="1"/>
  <c r="A85" i="11"/>
  <c r="D254" i="13"/>
  <c r="H31" i="8"/>
  <c r="G32" i="3"/>
  <c r="G55" i="3"/>
  <c r="F103" i="3"/>
  <c r="D9" i="2" s="1"/>
  <c r="F9" i="2" s="1"/>
  <c r="A70" i="11"/>
  <c r="A15" i="14" s="1"/>
  <c r="A39" i="14" s="1"/>
  <c r="A65" i="14" s="1"/>
  <c r="A74" i="11"/>
  <c r="A19" i="14" s="1"/>
  <c r="A43" i="14" s="1"/>
  <c r="A80" i="14" s="1"/>
  <c r="A78" i="11"/>
  <c r="A23" i="14" s="1"/>
  <c r="A47" i="14" s="1"/>
  <c r="A94" i="14" s="1"/>
  <c r="A82" i="11"/>
  <c r="A27" i="14" s="1"/>
  <c r="A51" i="14" s="1"/>
  <c r="A106" i="14" s="1"/>
  <c r="A86" i="11"/>
  <c r="A31" i="14" s="1"/>
  <c r="A55" i="14" s="1"/>
  <c r="A118" i="14" s="1"/>
  <c r="F222" i="13"/>
  <c r="E27" i="15"/>
  <c r="E9" i="15"/>
  <c r="F17" i="15"/>
  <c r="F28" i="15" s="1"/>
  <c r="C29" i="16"/>
  <c r="F29" i="16" s="1"/>
  <c r="D273" i="17"/>
  <c r="B32" i="7" s="1"/>
  <c r="D34" i="14"/>
  <c r="G47" i="3"/>
  <c r="R16" i="6"/>
  <c r="C19" i="9"/>
  <c r="C55" i="4"/>
  <c r="Q16" i="6"/>
  <c r="P16" i="6"/>
  <c r="C43" i="7"/>
  <c r="D87" i="4"/>
  <c r="O16" i="6"/>
  <c r="D20" i="11"/>
  <c r="B99" i="11" s="1"/>
  <c r="D16" i="11"/>
  <c r="B95" i="11" s="1"/>
  <c r="D19" i="11"/>
  <c r="B98" i="11" s="1"/>
  <c r="D14" i="11"/>
  <c r="B93" i="11" s="1"/>
  <c r="C93" i="11" s="1"/>
  <c r="C32" i="11"/>
  <c r="D22" i="11"/>
  <c r="B101" i="11" s="1"/>
  <c r="D18" i="11"/>
  <c r="B97" i="11" s="1"/>
  <c r="D21" i="11"/>
  <c r="B100" i="11" s="1"/>
  <c r="D17" i="11"/>
  <c r="B96" i="11" s="1"/>
  <c r="F10" i="2"/>
  <c r="F9" i="4"/>
  <c r="F13" i="4"/>
  <c r="F17" i="4"/>
  <c r="F21" i="4"/>
  <c r="C86" i="4"/>
  <c r="G86" i="4"/>
  <c r="I108" i="10"/>
  <c r="J94" i="10"/>
  <c r="H141" i="13"/>
  <c r="G4" i="4"/>
  <c r="F10" i="4"/>
  <c r="F14" i="4"/>
  <c r="F18" i="4"/>
  <c r="F22" i="4"/>
  <c r="F86" i="4"/>
  <c r="C20" i="9"/>
  <c r="I61" i="10"/>
  <c r="D125" i="10"/>
  <c r="H108" i="10"/>
  <c r="I12" i="10"/>
  <c r="I94" i="10"/>
  <c r="H61" i="10"/>
  <c r="H63" i="3"/>
  <c r="F11" i="4"/>
  <c r="F15" i="4"/>
  <c r="F19" i="4"/>
  <c r="E86" i="4"/>
  <c r="J12" i="10"/>
  <c r="C125" i="10"/>
  <c r="C34" i="10"/>
  <c r="C170" i="10"/>
  <c r="C155" i="10"/>
  <c r="F8" i="4"/>
  <c r="F12" i="4"/>
  <c r="F16" i="4"/>
  <c r="V11" i="6"/>
  <c r="V16" i="6" s="1"/>
  <c r="C140" i="10"/>
  <c r="A29" i="14"/>
  <c r="A53" i="14" s="1"/>
  <c r="A112" i="14" s="1"/>
  <c r="A109" i="11"/>
  <c r="A25" i="17" s="1"/>
  <c r="A30" i="14"/>
  <c r="A54" i="14" s="1"/>
  <c r="A115" i="14" s="1"/>
  <c r="A110" i="11"/>
  <c r="A27" i="17" s="1"/>
  <c r="A150" i="17"/>
  <c r="A217" i="17" s="1"/>
  <c r="A82" i="17"/>
  <c r="A151" i="17"/>
  <c r="A218" i="17" s="1"/>
  <c r="A83" i="17"/>
  <c r="D37" i="12"/>
  <c r="D21" i="12"/>
  <c r="D17" i="12"/>
  <c r="D40" i="12"/>
  <c r="D20" i="12"/>
  <c r="D16" i="12"/>
  <c r="A35" i="13"/>
  <c r="A92" i="13" s="1"/>
  <c r="A144" i="13" s="1"/>
  <c r="A203" i="13" s="1"/>
  <c r="A257" i="13" s="1"/>
  <c r="A74" i="12"/>
  <c r="A36" i="13"/>
  <c r="A93" i="13" s="1"/>
  <c r="A145" i="13" s="1"/>
  <c r="A204" i="13" s="1"/>
  <c r="A258" i="13" s="1"/>
  <c r="A75" i="12"/>
  <c r="A37" i="13"/>
  <c r="A94" i="13" s="1"/>
  <c r="A146" i="13" s="1"/>
  <c r="A205" i="13" s="1"/>
  <c r="A259" i="13" s="1"/>
  <c r="A76" i="12"/>
  <c r="A38" i="13"/>
  <c r="A95" i="13" s="1"/>
  <c r="A147" i="13" s="1"/>
  <c r="A206" i="13" s="1"/>
  <c r="A260" i="13" s="1"/>
  <c r="A77" i="12"/>
  <c r="A39" i="13"/>
  <c r="A96" i="13" s="1"/>
  <c r="A148" i="13" s="1"/>
  <c r="A207" i="13" s="1"/>
  <c r="A261" i="13" s="1"/>
  <c r="A78" i="12"/>
  <c r="A40" i="13"/>
  <c r="A97" i="13" s="1"/>
  <c r="A149" i="13" s="1"/>
  <c r="A208" i="13" s="1"/>
  <c r="A262" i="13" s="1"/>
  <c r="A79" i="12"/>
  <c r="A41" i="13"/>
  <c r="A98" i="13" s="1"/>
  <c r="A150" i="13" s="1"/>
  <c r="A209" i="13" s="1"/>
  <c r="A263" i="13" s="1"/>
  <c r="A80" i="12"/>
  <c r="A42" i="13"/>
  <c r="A99" i="13" s="1"/>
  <c r="A151" i="13" s="1"/>
  <c r="A210" i="13" s="1"/>
  <c r="A264" i="13" s="1"/>
  <c r="A81" i="12"/>
  <c r="A43" i="13"/>
  <c r="A100" i="13" s="1"/>
  <c r="A152" i="13" s="1"/>
  <c r="A211" i="13" s="1"/>
  <c r="A265" i="13" s="1"/>
  <c r="A82" i="12"/>
  <c r="A44" i="13"/>
  <c r="A101" i="13" s="1"/>
  <c r="A153" i="13" s="1"/>
  <c r="A212" i="13" s="1"/>
  <c r="A266" i="13" s="1"/>
  <c r="A83" i="12"/>
  <c r="A45" i="13"/>
  <c r="A102" i="13" s="1"/>
  <c r="A154" i="13" s="1"/>
  <c r="A213" i="13" s="1"/>
  <c r="A267" i="13" s="1"/>
  <c r="A84" i="12"/>
  <c r="A46" i="13"/>
  <c r="A103" i="13" s="1"/>
  <c r="A155" i="13" s="1"/>
  <c r="A214" i="13" s="1"/>
  <c r="A268" i="13" s="1"/>
  <c r="A85" i="12"/>
  <c r="A47" i="13"/>
  <c r="A104" i="13" s="1"/>
  <c r="A156" i="13" s="1"/>
  <c r="A215" i="13" s="1"/>
  <c r="A269" i="13" s="1"/>
  <c r="A86" i="12"/>
  <c r="A48" i="13"/>
  <c r="A105" i="13" s="1"/>
  <c r="A157" i="13" s="1"/>
  <c r="A216" i="13" s="1"/>
  <c r="A270" i="13" s="1"/>
  <c r="A87" i="12"/>
  <c r="A49" i="13"/>
  <c r="A106" i="13" s="1"/>
  <c r="A158" i="13" s="1"/>
  <c r="A217" i="13" s="1"/>
  <c r="A271" i="13" s="1"/>
  <c r="A88" i="12"/>
  <c r="A50" i="13"/>
  <c r="A107" i="13" s="1"/>
  <c r="A159" i="13" s="1"/>
  <c r="A218" i="13" s="1"/>
  <c r="A272" i="13" s="1"/>
  <c r="A89" i="12"/>
  <c r="A51" i="13"/>
  <c r="A108" i="13" s="1"/>
  <c r="A160" i="13" s="1"/>
  <c r="A219" i="13" s="1"/>
  <c r="A273" i="13" s="1"/>
  <c r="A90" i="12"/>
  <c r="A52" i="13"/>
  <c r="A109" i="13" s="1"/>
  <c r="A161" i="13" s="1"/>
  <c r="A220" i="13" s="1"/>
  <c r="A274" i="13" s="1"/>
  <c r="A91" i="12"/>
  <c r="A53" i="13"/>
  <c r="A110" i="13" s="1"/>
  <c r="A162" i="13" s="1"/>
  <c r="A221" i="13" s="1"/>
  <c r="A92" i="12"/>
  <c r="A93" i="12"/>
  <c r="A54" i="13"/>
  <c r="A111" i="13" s="1"/>
  <c r="A163" i="13" s="1"/>
  <c r="A222" i="13" s="1"/>
  <c r="A34" i="18"/>
  <c r="A62" i="18" s="1"/>
  <c r="A123" i="18" s="1"/>
  <c r="A123" i="12"/>
  <c r="A54" i="17" s="1"/>
  <c r="A35" i="18"/>
  <c r="A63" i="18" s="1"/>
  <c r="A127" i="18" s="1"/>
  <c r="A124" i="12"/>
  <c r="A55" i="17" s="1"/>
  <c r="A36" i="18"/>
  <c r="A64" i="18" s="1"/>
  <c r="A131" i="18" s="1"/>
  <c r="A125" i="12"/>
  <c r="A56" i="17" s="1"/>
  <c r="A37" i="18"/>
  <c r="A65" i="18" s="1"/>
  <c r="A135" i="18" s="1"/>
  <c r="A126" i="12"/>
  <c r="A57" i="17" s="1"/>
  <c r="C44" i="18"/>
  <c r="A105" i="11"/>
  <c r="A21" i="17" s="1"/>
  <c r="A107" i="11"/>
  <c r="A23" i="17" s="1"/>
  <c r="C114" i="11"/>
  <c r="D18" i="12"/>
  <c r="C32" i="12"/>
  <c r="D38" i="12"/>
  <c r="D14" i="12"/>
  <c r="D15" i="12"/>
  <c r="C23" i="12"/>
  <c r="A94" i="12"/>
  <c r="A57" i="13"/>
  <c r="A114" i="13" s="1"/>
  <c r="A166" i="13" s="1"/>
  <c r="A225" i="13" s="1"/>
  <c r="A276" i="13" s="1"/>
  <c r="A59" i="13"/>
  <c r="A116" i="13" s="1"/>
  <c r="A168" i="13" s="1"/>
  <c r="A227" i="13" s="1"/>
  <c r="A278" i="13" s="1"/>
  <c r="H172" i="13"/>
  <c r="H254" i="13" s="1"/>
  <c r="G255" i="13"/>
  <c r="G294" i="13"/>
  <c r="G301" i="13" s="1"/>
  <c r="E28" i="7" s="1"/>
  <c r="G280" i="13"/>
  <c r="G279" i="13"/>
  <c r="G223" i="13"/>
  <c r="G222" i="13"/>
  <c r="G221" i="13"/>
  <c r="A93" i="11"/>
  <c r="A9" i="17" s="1"/>
  <c r="A94" i="11"/>
  <c r="A10" i="17" s="1"/>
  <c r="A97" i="11"/>
  <c r="A13" i="17" s="1"/>
  <c r="A98" i="11"/>
  <c r="A14" i="17" s="1"/>
  <c r="A101" i="11"/>
  <c r="A103" i="11"/>
  <c r="A19" i="17" s="1"/>
  <c r="A104" i="11"/>
  <c r="A20" i="17" s="1"/>
  <c r="A108" i="11"/>
  <c r="A24" i="17" s="1"/>
  <c r="D22" i="12"/>
  <c r="G141" i="13"/>
  <c r="D19" i="12"/>
  <c r="D39" i="12"/>
  <c r="A56" i="13"/>
  <c r="A113" i="13" s="1"/>
  <c r="A165" i="13" s="1"/>
  <c r="A224" i="13" s="1"/>
  <c r="A275" i="13" s="1"/>
  <c r="A58" i="13"/>
  <c r="A115" i="13" s="1"/>
  <c r="A167" i="13" s="1"/>
  <c r="A226" i="13" s="1"/>
  <c r="A277" i="13" s="1"/>
  <c r="D141" i="13"/>
  <c r="D218" i="17"/>
  <c r="D151" i="17"/>
  <c r="C141" i="13"/>
  <c r="E199" i="13" s="1"/>
  <c r="E222" i="13"/>
  <c r="F223" i="13"/>
  <c r="G133" i="14"/>
  <c r="H133" i="14" s="1"/>
  <c r="I133" i="14" s="1"/>
  <c r="J133" i="14" s="1"/>
  <c r="F9" i="15"/>
  <c r="E10" i="15"/>
  <c r="E223" i="13"/>
  <c r="E141" i="13"/>
  <c r="G254" i="13"/>
  <c r="F255" i="13"/>
  <c r="F294" i="13"/>
  <c r="F301" i="13" s="1"/>
  <c r="D28" i="7" s="1"/>
  <c r="F280" i="13"/>
  <c r="F279" i="13"/>
  <c r="F44" i="16"/>
  <c r="E29" i="16"/>
  <c r="E34" i="16"/>
  <c r="F34" i="16"/>
  <c r="G34" i="16"/>
  <c r="F221" i="13"/>
  <c r="C28" i="16"/>
  <c r="J8" i="16"/>
  <c r="C30" i="16"/>
  <c r="J10" i="16"/>
  <c r="C32" i="16"/>
  <c r="J12" i="16"/>
  <c r="E38" i="16"/>
  <c r="F38" i="16"/>
  <c r="A152" i="17"/>
  <c r="A219" i="17" s="1"/>
  <c r="A84" i="17"/>
  <c r="A85" i="17"/>
  <c r="G52" i="16"/>
  <c r="G56" i="16" s="1"/>
  <c r="D31" i="7" s="1"/>
  <c r="E279" i="13"/>
  <c r="E280" i="13"/>
  <c r="F29" i="15"/>
  <c r="C31" i="16"/>
  <c r="E265" i="17"/>
  <c r="E214" i="17"/>
  <c r="E268" i="17"/>
  <c r="E243" i="17"/>
  <c r="E267" i="17"/>
  <c r="E266" i="17"/>
  <c r="E205" i="17"/>
  <c r="F124" i="17"/>
  <c r="F219" i="17" s="1"/>
  <c r="E28" i="15"/>
  <c r="E29" i="15"/>
  <c r="E35" i="16"/>
  <c r="G37" i="16"/>
  <c r="A147" i="17"/>
  <c r="A214" i="17" s="1"/>
  <c r="E219" i="17"/>
  <c r="E152" i="17"/>
  <c r="D29" i="15"/>
  <c r="D34" i="15" s="1"/>
  <c r="F33" i="16"/>
  <c r="F37" i="16"/>
  <c r="D219" i="17"/>
  <c r="D152" i="17"/>
  <c r="E33" i="16"/>
  <c r="G35" i="16"/>
  <c r="F36" i="16"/>
  <c r="E37" i="16"/>
  <c r="D40" i="18"/>
  <c r="F149" i="18"/>
  <c r="E180" i="18"/>
  <c r="E181" i="18"/>
  <c r="D5" i="2" l="1"/>
  <c r="C37" i="4"/>
  <c r="A106" i="11"/>
  <c r="A22" i="17" s="1"/>
  <c r="A100" i="11"/>
  <c r="A16" i="17" s="1"/>
  <c r="G63" i="3"/>
  <c r="C43" i="4" s="1"/>
  <c r="C44" i="4" s="1"/>
  <c r="C45" i="4" s="1"/>
  <c r="A99" i="11"/>
  <c r="A15" i="17" s="1"/>
  <c r="A68" i="17" s="1"/>
  <c r="B36" i="7"/>
  <c r="C147" i="10" s="1"/>
  <c r="C18" i="9"/>
  <c r="C61" i="4"/>
  <c r="C49" i="4"/>
  <c r="F50" i="4" s="1"/>
  <c r="F7" i="2"/>
  <c r="G29" i="16"/>
  <c r="E33" i="14"/>
  <c r="F33" i="14" s="1"/>
  <c r="G36" i="16"/>
  <c r="E34" i="15"/>
  <c r="F37" i="15"/>
  <c r="F43" i="15" s="1"/>
  <c r="D30" i="7" s="1"/>
  <c r="H223" i="13"/>
  <c r="A96" i="11"/>
  <c r="A12" i="17" s="1"/>
  <c r="H222" i="13"/>
  <c r="A111" i="11"/>
  <c r="A28" i="17" s="1"/>
  <c r="D140" i="10"/>
  <c r="G38" i="16"/>
  <c r="G17" i="15"/>
  <c r="G29" i="15" s="1"/>
  <c r="H199" i="13"/>
  <c r="A95" i="11"/>
  <c r="A11" i="17" s="1"/>
  <c r="A64" i="17" s="1"/>
  <c r="D155" i="10"/>
  <c r="G44" i="16"/>
  <c r="E185" i="18"/>
  <c r="C33" i="7" s="1"/>
  <c r="G33" i="16"/>
  <c r="H23" i="16"/>
  <c r="H28" i="16" s="1"/>
  <c r="F27" i="15"/>
  <c r="F34" i="15" s="1"/>
  <c r="A102" i="11"/>
  <c r="A18" i="17" s="1"/>
  <c r="D170" i="10"/>
  <c r="H29" i="16"/>
  <c r="G199" i="13"/>
  <c r="F21" i="15"/>
  <c r="F23" i="15" s="1"/>
  <c r="F6" i="2"/>
  <c r="C16" i="9"/>
  <c r="E45" i="15"/>
  <c r="E47" i="15" s="1"/>
  <c r="C20" i="7"/>
  <c r="F51" i="6"/>
  <c r="E40" i="18"/>
  <c r="D41" i="18"/>
  <c r="F28" i="16"/>
  <c r="G28" i="16"/>
  <c r="E28" i="16"/>
  <c r="G172" i="14"/>
  <c r="G177" i="14" s="1"/>
  <c r="E29" i="7" s="1"/>
  <c r="A77" i="17"/>
  <c r="A145" i="17"/>
  <c r="A212" i="17" s="1"/>
  <c r="A71" i="17"/>
  <c r="A139" i="17"/>
  <c r="A206" i="17" s="1"/>
  <c r="A67" i="17"/>
  <c r="A135" i="17"/>
  <c r="A202" i="17" s="1"/>
  <c r="A63" i="17"/>
  <c r="A131" i="17"/>
  <c r="A198" i="17" s="1"/>
  <c r="D31" i="12"/>
  <c r="D27" i="12"/>
  <c r="D30" i="12"/>
  <c r="D26" i="12"/>
  <c r="D25" i="12"/>
  <c r="D28" i="12"/>
  <c r="D29" i="12"/>
  <c r="D24" i="12"/>
  <c r="D30" i="17"/>
  <c r="D83" i="17" s="1"/>
  <c r="D114" i="11"/>
  <c r="B105" i="12"/>
  <c r="F17" i="12"/>
  <c r="H17" i="12" s="1"/>
  <c r="E43" i="7"/>
  <c r="F87" i="4"/>
  <c r="B43" i="7"/>
  <c r="B18" i="8" s="1"/>
  <c r="C18" i="8" s="1"/>
  <c r="C87" i="4"/>
  <c r="F18" i="11"/>
  <c r="H18" i="11" s="1"/>
  <c r="B72" i="11" s="1"/>
  <c r="H15" i="11"/>
  <c r="F20" i="11"/>
  <c r="H20" i="11" s="1"/>
  <c r="B74" i="11" s="1"/>
  <c r="H62" i="4"/>
  <c r="D62" i="4"/>
  <c r="I62" i="4"/>
  <c r="E62" i="4"/>
  <c r="F62" i="4"/>
  <c r="G62" i="4"/>
  <c r="C62" i="4"/>
  <c r="C63" i="4" s="1"/>
  <c r="K61" i="4"/>
  <c r="F56" i="4"/>
  <c r="G56" i="4"/>
  <c r="C56" i="4"/>
  <c r="C57" i="4" s="1"/>
  <c r="H56" i="4"/>
  <c r="D56" i="4"/>
  <c r="K55" i="4"/>
  <c r="I56" i="4"/>
  <c r="E56" i="4"/>
  <c r="G21" i="15"/>
  <c r="G23" i="15" s="1"/>
  <c r="G28" i="15"/>
  <c r="G27" i="15"/>
  <c r="H17" i="15"/>
  <c r="G37" i="15"/>
  <c r="G43" i="15" s="1"/>
  <c r="E30" i="7" s="1"/>
  <c r="D45" i="15"/>
  <c r="D47" i="15" s="1"/>
  <c r="B20" i="7"/>
  <c r="E51" i="6"/>
  <c r="F32" i="16"/>
  <c r="G32" i="16"/>
  <c r="H32" i="16"/>
  <c r="E32" i="16"/>
  <c r="G149" i="18"/>
  <c r="F181" i="18"/>
  <c r="F180" i="18"/>
  <c r="B107" i="12"/>
  <c r="F19" i="12"/>
  <c r="H19" i="12" s="1"/>
  <c r="B110" i="12"/>
  <c r="F22" i="12"/>
  <c r="H22" i="12" s="1"/>
  <c r="A72" i="17"/>
  <c r="A140" i="17"/>
  <c r="A207" i="17" s="1"/>
  <c r="A33" i="18"/>
  <c r="A122" i="12"/>
  <c r="A53" i="17" s="1"/>
  <c r="B106" i="12"/>
  <c r="F18" i="12"/>
  <c r="H18" i="12" s="1"/>
  <c r="A109" i="17"/>
  <c r="A177" i="17"/>
  <c r="A241" i="17" s="1"/>
  <c r="A107" i="17"/>
  <c r="A175" i="17"/>
  <c r="A239" i="17" s="1"/>
  <c r="A31" i="18"/>
  <c r="A120" i="12"/>
  <c r="A51" i="17" s="1"/>
  <c r="A29" i="18"/>
  <c r="A60" i="18" s="1"/>
  <c r="A121" i="18" s="1"/>
  <c r="A118" i="12"/>
  <c r="A49" i="17" s="1"/>
  <c r="A27" i="18"/>
  <c r="A58" i="18" s="1"/>
  <c r="A119" i="18" s="1"/>
  <c r="A116" i="12"/>
  <c r="A47" i="17" s="1"/>
  <c r="A25" i="18"/>
  <c r="A56" i="18" s="1"/>
  <c r="A114" i="18" s="1"/>
  <c r="A114" i="12"/>
  <c r="A45" i="17" s="1"/>
  <c r="A23" i="18"/>
  <c r="A54" i="18" s="1"/>
  <c r="A106" i="18" s="1"/>
  <c r="A112" i="12"/>
  <c r="A43" i="17" s="1"/>
  <c r="A21" i="18"/>
  <c r="A52" i="18" s="1"/>
  <c r="A98" i="18" s="1"/>
  <c r="A110" i="12"/>
  <c r="A41" i="17" s="1"/>
  <c r="A19" i="18"/>
  <c r="A50" i="18" s="1"/>
  <c r="A91" i="18" s="1"/>
  <c r="A108" i="12"/>
  <c r="A39" i="17" s="1"/>
  <c r="A17" i="18"/>
  <c r="A48" i="18" s="1"/>
  <c r="A83" i="18" s="1"/>
  <c r="A106" i="12"/>
  <c r="A37" i="17" s="1"/>
  <c r="A15" i="18"/>
  <c r="A46" i="18" s="1"/>
  <c r="A75" i="18" s="1"/>
  <c r="A104" i="12"/>
  <c r="A35" i="17" s="1"/>
  <c r="A13" i="18"/>
  <c r="A44" i="18" s="1"/>
  <c r="A67" i="18" s="1"/>
  <c r="A102" i="12"/>
  <c r="A33" i="17" s="1"/>
  <c r="B126" i="12"/>
  <c r="F40" i="12"/>
  <c r="H40" i="12" s="1"/>
  <c r="A149" i="17"/>
  <c r="A216" i="17" s="1"/>
  <c r="A81" i="17"/>
  <c r="A78" i="17"/>
  <c r="A146" i="17"/>
  <c r="A213" i="17" s="1"/>
  <c r="D43" i="7"/>
  <c r="E87" i="4"/>
  <c r="F43" i="7"/>
  <c r="G87" i="4"/>
  <c r="F21" i="11"/>
  <c r="H21" i="11" s="1"/>
  <c r="B75" i="11" s="1"/>
  <c r="F14" i="11"/>
  <c r="H14" i="11" s="1"/>
  <c r="B68" i="11" s="1"/>
  <c r="F16" i="11"/>
  <c r="H16" i="11" s="1"/>
  <c r="B70" i="11" s="1"/>
  <c r="D108" i="10"/>
  <c r="E12" i="10"/>
  <c r="E94" i="10"/>
  <c r="D61" i="10"/>
  <c r="F38" i="4"/>
  <c r="G38" i="4"/>
  <c r="C38" i="4"/>
  <c r="C39" i="4" s="1"/>
  <c r="H38" i="4"/>
  <c r="D38" i="4"/>
  <c r="K37" i="4"/>
  <c r="I38" i="4"/>
  <c r="E38" i="4"/>
  <c r="E273" i="17"/>
  <c r="C32" i="7" s="1"/>
  <c r="C43" i="16"/>
  <c r="F199" i="13"/>
  <c r="H221" i="13"/>
  <c r="F266" i="17"/>
  <c r="F265" i="17"/>
  <c r="F214" i="17"/>
  <c r="F268" i="17"/>
  <c r="F243" i="17"/>
  <c r="F267" i="17"/>
  <c r="F205" i="17"/>
  <c r="G124" i="17"/>
  <c r="F152" i="17"/>
  <c r="H31" i="16"/>
  <c r="E31" i="16"/>
  <c r="F31" i="16"/>
  <c r="G31" i="16"/>
  <c r="H52" i="16"/>
  <c r="H56" i="16" s="1"/>
  <c r="E31" i="7" s="1"/>
  <c r="I23" i="16"/>
  <c r="I32" i="16" s="1"/>
  <c r="H37" i="16"/>
  <c r="H33" i="16"/>
  <c r="F45" i="15"/>
  <c r="F47" i="15" s="1"/>
  <c r="D20" i="7"/>
  <c r="G51" i="6"/>
  <c r="F30" i="16"/>
  <c r="G30" i="16"/>
  <c r="H30" i="16"/>
  <c r="E30" i="16"/>
  <c r="B125" i="12"/>
  <c r="F39" i="12"/>
  <c r="H39" i="12" s="1"/>
  <c r="A73" i="17"/>
  <c r="A141" i="17"/>
  <c r="A208" i="17" s="1"/>
  <c r="A69" i="17"/>
  <c r="A137" i="17"/>
  <c r="A204" i="17" s="1"/>
  <c r="A65" i="17"/>
  <c r="A133" i="17"/>
  <c r="A200" i="17" s="1"/>
  <c r="I172" i="13"/>
  <c r="I199" i="13" s="1"/>
  <c r="H294" i="13"/>
  <c r="H301" i="13" s="1"/>
  <c r="F28" i="7" s="1"/>
  <c r="H280" i="13"/>
  <c r="H255" i="13"/>
  <c r="H279" i="13"/>
  <c r="B102" i="12"/>
  <c r="M14" i="12"/>
  <c r="G74" i="12" s="1"/>
  <c r="G13" i="18" s="1"/>
  <c r="N14" i="12"/>
  <c r="H74" i="12" s="1"/>
  <c r="H13" i="18" s="1"/>
  <c r="J14" i="12"/>
  <c r="D74" i="12" s="1"/>
  <c r="D13" i="18" s="1"/>
  <c r="K14" i="12"/>
  <c r="E74" i="12" s="1"/>
  <c r="E13" i="18" s="1"/>
  <c r="L14" i="12"/>
  <c r="F74" i="12" s="1"/>
  <c r="F13" i="18" s="1"/>
  <c r="F14" i="12"/>
  <c r="H14" i="12" s="1"/>
  <c r="D33" i="12"/>
  <c r="D36" i="12"/>
  <c r="D34" i="12"/>
  <c r="D35" i="12"/>
  <c r="A74" i="17"/>
  <c r="A142" i="17"/>
  <c r="A209" i="17" s="1"/>
  <c r="A32" i="18"/>
  <c r="A121" i="12"/>
  <c r="A52" i="17" s="1"/>
  <c r="B108" i="12"/>
  <c r="F20" i="12"/>
  <c r="H20" i="12" s="1"/>
  <c r="B123" i="12"/>
  <c r="F37" i="12"/>
  <c r="H37" i="12" s="1"/>
  <c r="F17" i="11"/>
  <c r="H17" i="11" s="1"/>
  <c r="B71" i="11" s="1"/>
  <c r="D36" i="11"/>
  <c r="D35" i="11"/>
  <c r="F35" i="11" s="1"/>
  <c r="H35" i="11" s="1"/>
  <c r="D34" i="11"/>
  <c r="D33" i="11"/>
  <c r="D30" i="11"/>
  <c r="D26" i="11"/>
  <c r="B105" i="11" s="1"/>
  <c r="D29" i="11"/>
  <c r="D28" i="11"/>
  <c r="D24" i="11"/>
  <c r="B103" i="11" s="1"/>
  <c r="D31" i="11"/>
  <c r="D27" i="11"/>
  <c r="B106" i="11" s="1"/>
  <c r="H38" i="16"/>
  <c r="H34" i="16"/>
  <c r="H44" i="16"/>
  <c r="G9" i="15"/>
  <c r="F10" i="15"/>
  <c r="H21" i="15" s="1"/>
  <c r="H23" i="15" s="1"/>
  <c r="A75" i="17"/>
  <c r="A143" i="17"/>
  <c r="A210" i="17" s="1"/>
  <c r="A66" i="17"/>
  <c r="A134" i="17"/>
  <c r="A201" i="17" s="1"/>
  <c r="A62" i="17"/>
  <c r="A130" i="17"/>
  <c r="A197" i="17" s="1"/>
  <c r="B103" i="12"/>
  <c r="F15" i="12"/>
  <c r="H15" i="12" s="1"/>
  <c r="B124" i="12"/>
  <c r="F38" i="12"/>
  <c r="H38" i="12" s="1"/>
  <c r="A76" i="17"/>
  <c r="A144" i="17"/>
  <c r="A211" i="17" s="1"/>
  <c r="A110" i="17"/>
  <c r="A178" i="17"/>
  <c r="A242" i="17" s="1"/>
  <c r="A108" i="17"/>
  <c r="A176" i="17"/>
  <c r="A240" i="17" s="1"/>
  <c r="A30" i="18"/>
  <c r="A61" i="18" s="1"/>
  <c r="A122" i="18" s="1"/>
  <c r="A119" i="12"/>
  <c r="A50" i="17" s="1"/>
  <c r="A28" i="18"/>
  <c r="A59" i="18" s="1"/>
  <c r="A120" i="18" s="1"/>
  <c r="A117" i="12"/>
  <c r="A48" i="17" s="1"/>
  <c r="A26" i="18"/>
  <c r="A57" i="18" s="1"/>
  <c r="A118" i="18" s="1"/>
  <c r="A115" i="12"/>
  <c r="A46" i="17" s="1"/>
  <c r="A24" i="18"/>
  <c r="A55" i="18" s="1"/>
  <c r="A110" i="18" s="1"/>
  <c r="A113" i="12"/>
  <c r="A44" i="17" s="1"/>
  <c r="A22" i="18"/>
  <c r="A53" i="18" s="1"/>
  <c r="A102" i="18" s="1"/>
  <c r="A111" i="12"/>
  <c r="A42" i="17" s="1"/>
  <c r="A20" i="18"/>
  <c r="A51" i="18" s="1"/>
  <c r="A94" i="18" s="1"/>
  <c r="A109" i="12"/>
  <c r="A40" i="17" s="1"/>
  <c r="A18" i="18"/>
  <c r="A49" i="18" s="1"/>
  <c r="A87" i="18" s="1"/>
  <c r="A107" i="12"/>
  <c r="A38" i="17" s="1"/>
  <c r="A16" i="18"/>
  <c r="A47" i="18" s="1"/>
  <c r="A79" i="18" s="1"/>
  <c r="A105" i="12"/>
  <c r="A36" i="17" s="1"/>
  <c r="A14" i="18"/>
  <c r="A45" i="18" s="1"/>
  <c r="A71" i="18" s="1"/>
  <c r="A103" i="12"/>
  <c r="A34" i="17" s="1"/>
  <c r="B104" i="12"/>
  <c r="F16" i="12"/>
  <c r="H16" i="12" s="1"/>
  <c r="B109" i="12"/>
  <c r="F21" i="12"/>
  <c r="H21" i="12" s="1"/>
  <c r="A148" i="17"/>
  <c r="A215" i="17" s="1"/>
  <c r="A80" i="17"/>
  <c r="G21" i="4"/>
  <c r="G17" i="4"/>
  <c r="G13" i="4"/>
  <c r="G9" i="4"/>
  <c r="G20" i="4"/>
  <c r="G16" i="4"/>
  <c r="G12" i="4"/>
  <c r="G8" i="4"/>
  <c r="G19" i="4"/>
  <c r="G15" i="4"/>
  <c r="G11" i="4"/>
  <c r="G22" i="4"/>
  <c r="G18" i="4"/>
  <c r="G14" i="4"/>
  <c r="G10" i="4"/>
  <c r="H4" i="4"/>
  <c r="C101" i="11"/>
  <c r="D101" i="11" s="1"/>
  <c r="E101" i="11" s="1"/>
  <c r="F101" i="11" s="1"/>
  <c r="G101" i="11" s="1"/>
  <c r="H101" i="11" s="1"/>
  <c r="F22" i="11"/>
  <c r="H22" i="11" s="1"/>
  <c r="B76" i="11" s="1"/>
  <c r="F19" i="11"/>
  <c r="H19" i="11" s="1"/>
  <c r="B73" i="11" s="1"/>
  <c r="C162" i="10"/>
  <c r="C177" i="10"/>
  <c r="C23" i="9"/>
  <c r="F23" i="4"/>
  <c r="C35" i="7" s="1"/>
  <c r="F5" i="2" l="1"/>
  <c r="C15" i="9"/>
  <c r="E20" i="2"/>
  <c r="C10" i="9" s="1"/>
  <c r="E34" i="14"/>
  <c r="E50" i="4"/>
  <c r="A136" i="17"/>
  <c r="A203" i="17" s="1"/>
  <c r="D57" i="4"/>
  <c r="E57" i="4" s="1"/>
  <c r="F57" i="4" s="1"/>
  <c r="G57" i="4" s="1"/>
  <c r="H57" i="4" s="1"/>
  <c r="I57" i="4" s="1"/>
  <c r="H50" i="4"/>
  <c r="I50" i="4"/>
  <c r="C50" i="4"/>
  <c r="C52" i="4" s="1"/>
  <c r="D49" i="4" s="1"/>
  <c r="K49" i="4"/>
  <c r="K50" i="4" s="1"/>
  <c r="K52" i="4" s="1"/>
  <c r="G50" i="4"/>
  <c r="D50" i="4"/>
  <c r="C132" i="10"/>
  <c r="E44" i="4"/>
  <c r="E66" i="4" s="1"/>
  <c r="H44" i="4"/>
  <c r="H66" i="4" s="1"/>
  <c r="D44" i="4"/>
  <c r="D66" i="4" s="1"/>
  <c r="F44" i="4"/>
  <c r="F66" i="4" s="1"/>
  <c r="F12" i="2"/>
  <c r="E19" i="2" s="1"/>
  <c r="B34" i="8" s="1"/>
  <c r="C34" i="8" s="1"/>
  <c r="D34" i="8" s="1"/>
  <c r="E34" i="8" s="1"/>
  <c r="F34" i="8" s="1"/>
  <c r="G34" i="8" s="1"/>
  <c r="H34" i="8" s="1"/>
  <c r="D4" i="5"/>
  <c r="D8" i="5" s="1"/>
  <c r="F13" i="5" s="1"/>
  <c r="D69" i="11"/>
  <c r="D14" i="14" s="1"/>
  <c r="D38" i="14" s="1"/>
  <c r="C69" i="11"/>
  <c r="B69" i="11"/>
  <c r="B43" i="11"/>
  <c r="C43" i="11" s="1"/>
  <c r="F185" i="18"/>
  <c r="D33" i="7" s="1"/>
  <c r="A132" i="17"/>
  <c r="A199" i="17" s="1"/>
  <c r="F69" i="11"/>
  <c r="E69" i="11"/>
  <c r="E14" i="14" s="1"/>
  <c r="E38" i="14" s="1"/>
  <c r="H35" i="16"/>
  <c r="H36" i="16"/>
  <c r="D18" i="8"/>
  <c r="E18" i="8" s="1"/>
  <c r="F18" i="8" s="1"/>
  <c r="G18" i="8" s="1"/>
  <c r="H18" i="8" s="1"/>
  <c r="I31" i="16"/>
  <c r="D10" i="7"/>
  <c r="G38" i="6"/>
  <c r="I30" i="16"/>
  <c r="C65" i="4"/>
  <c r="B13" i="8" s="1"/>
  <c r="K43" i="4"/>
  <c r="G44" i="4"/>
  <c r="G66" i="4" s="1"/>
  <c r="I44" i="4"/>
  <c r="C40" i="4"/>
  <c r="D37" i="4" s="1"/>
  <c r="D40" i="4" s="1"/>
  <c r="E37" i="4" s="1"/>
  <c r="E40" i="4" s="1"/>
  <c r="F37" i="4" s="1"/>
  <c r="F40" i="4" s="1"/>
  <c r="G37" i="4" s="1"/>
  <c r="G40" i="4" s="1"/>
  <c r="H37" i="4" s="1"/>
  <c r="H40" i="4" s="1"/>
  <c r="I37" i="4" s="1"/>
  <c r="I40" i="4" s="1"/>
  <c r="B47" i="11"/>
  <c r="B76" i="12"/>
  <c r="B48" i="12"/>
  <c r="A89" i="17"/>
  <c r="A157" i="17"/>
  <c r="A224" i="17" s="1"/>
  <c r="A93" i="17"/>
  <c r="A161" i="17"/>
  <c r="A228" i="17" s="1"/>
  <c r="A97" i="17"/>
  <c r="A165" i="17"/>
  <c r="A232" i="17" s="1"/>
  <c r="A101" i="17"/>
  <c r="A169" i="17"/>
  <c r="A236" i="17" s="1"/>
  <c r="B75" i="12"/>
  <c r="B47" i="12"/>
  <c r="F10" i="7"/>
  <c r="I38" i="6"/>
  <c r="F31" i="11"/>
  <c r="H31" i="11" s="1"/>
  <c r="B109" i="11"/>
  <c r="B107" i="11"/>
  <c r="F29" i="11"/>
  <c r="H29" i="11" s="1"/>
  <c r="B112" i="11"/>
  <c r="B111" i="11"/>
  <c r="F34" i="11"/>
  <c r="H34" i="11" s="1"/>
  <c r="B45" i="11"/>
  <c r="C39" i="17"/>
  <c r="C92" i="17" s="1"/>
  <c r="C108" i="12"/>
  <c r="B119" i="12"/>
  <c r="F33" i="12"/>
  <c r="H33" i="12" s="1"/>
  <c r="D44" i="18"/>
  <c r="I294" i="13"/>
  <c r="I301" i="13" s="1"/>
  <c r="G28" i="7" s="1"/>
  <c r="I280" i="13"/>
  <c r="I279" i="13"/>
  <c r="J172" i="13"/>
  <c r="I255" i="13"/>
  <c r="I221" i="13"/>
  <c r="I223" i="13"/>
  <c r="I222" i="13"/>
  <c r="I254" i="13"/>
  <c r="F34" i="14"/>
  <c r="G33" i="14"/>
  <c r="B49" i="11"/>
  <c r="E108" i="10"/>
  <c r="F94" i="10"/>
  <c r="E61" i="10"/>
  <c r="F12" i="10"/>
  <c r="C37" i="17"/>
  <c r="C90" i="17" s="1"/>
  <c r="C106" i="12"/>
  <c r="C38" i="17"/>
  <c r="C91" i="17" s="1"/>
  <c r="C107" i="12"/>
  <c r="G180" i="18"/>
  <c r="H149" i="18"/>
  <c r="G181" i="18"/>
  <c r="B48" i="11"/>
  <c r="C13" i="17"/>
  <c r="C66" i="17" s="1"/>
  <c r="C97" i="11"/>
  <c r="F61" i="10"/>
  <c r="F108" i="10"/>
  <c r="G12" i="10"/>
  <c r="G94" i="10"/>
  <c r="E218" i="17"/>
  <c r="E151" i="17"/>
  <c r="B112" i="12"/>
  <c r="F25" i="12"/>
  <c r="H25" i="12" s="1"/>
  <c r="B118" i="12"/>
  <c r="F31" i="12"/>
  <c r="H31" i="12" s="1"/>
  <c r="F40" i="18"/>
  <c r="E41" i="18"/>
  <c r="E44" i="18" s="1"/>
  <c r="G23" i="4"/>
  <c r="D35" i="7" s="1"/>
  <c r="C64" i="4"/>
  <c r="D61" i="4" s="1"/>
  <c r="D64" i="4" s="1"/>
  <c r="E61" i="4" s="1"/>
  <c r="E64" i="4" s="1"/>
  <c r="F61" i="4" s="1"/>
  <c r="F64" i="4" s="1"/>
  <c r="G61" i="4" s="1"/>
  <c r="G64" i="4" s="1"/>
  <c r="H61" i="4" s="1"/>
  <c r="H64" i="4" s="1"/>
  <c r="I61" i="4" s="1"/>
  <c r="I64" i="4" s="1"/>
  <c r="I28" i="16"/>
  <c r="C40" i="17"/>
  <c r="C93" i="17" s="1"/>
  <c r="C109" i="12"/>
  <c r="C55" i="17"/>
  <c r="C108" i="17" s="1"/>
  <c r="C124" i="12"/>
  <c r="F27" i="11"/>
  <c r="H27" i="11" s="1"/>
  <c r="B80" i="11" s="1"/>
  <c r="F25" i="11"/>
  <c r="H25" i="11" s="1"/>
  <c r="F33" i="11"/>
  <c r="H33" i="11" s="1"/>
  <c r="B110" i="11"/>
  <c r="C110" i="11" s="1"/>
  <c r="D110" i="11" s="1"/>
  <c r="E110" i="11" s="1"/>
  <c r="F110" i="11" s="1"/>
  <c r="G110" i="11" s="1"/>
  <c r="H110" i="11" s="1"/>
  <c r="C12" i="17"/>
  <c r="C65" i="17" s="1"/>
  <c r="C96" i="11"/>
  <c r="B80" i="12"/>
  <c r="B52" i="12"/>
  <c r="B122" i="12"/>
  <c r="F36" i="12"/>
  <c r="H36" i="12" s="1"/>
  <c r="C33" i="17"/>
  <c r="C86" i="17" s="1"/>
  <c r="C102" i="12"/>
  <c r="G267" i="17"/>
  <c r="G266" i="17"/>
  <c r="G265" i="17"/>
  <c r="G214" i="17"/>
  <c r="G268" i="17"/>
  <c r="G243" i="17"/>
  <c r="G205" i="17"/>
  <c r="H124" i="17"/>
  <c r="G152" i="17"/>
  <c r="G219" i="17"/>
  <c r="K38" i="4"/>
  <c r="K39" i="4" s="1"/>
  <c r="B44" i="11"/>
  <c r="C9" i="17"/>
  <c r="C62" i="17" s="1"/>
  <c r="C16" i="17"/>
  <c r="C69" i="17" s="1"/>
  <c r="C100" i="11"/>
  <c r="A86" i="17"/>
  <c r="A154" i="17"/>
  <c r="A221" i="17" s="1"/>
  <c r="A90" i="17"/>
  <c r="A158" i="17"/>
  <c r="A225" i="17" s="1"/>
  <c r="A94" i="17"/>
  <c r="A162" i="17"/>
  <c r="A229" i="17" s="1"/>
  <c r="A98" i="17"/>
  <c r="A166" i="17"/>
  <c r="A233" i="17" s="1"/>
  <c r="A102" i="17"/>
  <c r="A170" i="17"/>
  <c r="A237" i="17" s="1"/>
  <c r="B78" i="12"/>
  <c r="B50" i="12"/>
  <c r="B79" i="12"/>
  <c r="B51" i="12"/>
  <c r="C15" i="17"/>
  <c r="C68" i="17" s="1"/>
  <c r="C99" i="11"/>
  <c r="B46" i="11"/>
  <c r="E30" i="17"/>
  <c r="E83" i="17" s="1"/>
  <c r="E114" i="11"/>
  <c r="B115" i="12"/>
  <c r="F28" i="12"/>
  <c r="H28" i="12" s="1"/>
  <c r="B114" i="12"/>
  <c r="F27" i="12"/>
  <c r="H27" i="12" s="1"/>
  <c r="F273" i="17"/>
  <c r="D32" i="7" s="1"/>
  <c r="G39" i="16"/>
  <c r="H22" i="4"/>
  <c r="H18" i="4"/>
  <c r="H14" i="4"/>
  <c r="H10" i="4"/>
  <c r="I4" i="4"/>
  <c r="H21" i="4"/>
  <c r="H17" i="4"/>
  <c r="H13" i="4"/>
  <c r="H9" i="4"/>
  <c r="H20" i="4"/>
  <c r="H16" i="4"/>
  <c r="H12" i="4"/>
  <c r="H8" i="4"/>
  <c r="H19" i="4"/>
  <c r="H15" i="4"/>
  <c r="H11" i="4"/>
  <c r="B50" i="11"/>
  <c r="B81" i="12"/>
  <c r="B53" i="12"/>
  <c r="A87" i="17"/>
  <c r="A155" i="17"/>
  <c r="A222" i="17" s="1"/>
  <c r="A91" i="17"/>
  <c r="A159" i="17"/>
  <c r="A226" i="17" s="1"/>
  <c r="A95" i="17"/>
  <c r="A163" i="17"/>
  <c r="A230" i="17" s="1"/>
  <c r="A99" i="17"/>
  <c r="A167" i="17"/>
  <c r="A234" i="17" s="1"/>
  <c r="A103" i="17"/>
  <c r="A171" i="17"/>
  <c r="A238" i="17" s="1"/>
  <c r="B68" i="12"/>
  <c r="B96" i="12"/>
  <c r="F28" i="11"/>
  <c r="H28" i="11" s="1"/>
  <c r="B81" i="11" s="1"/>
  <c r="F30" i="11"/>
  <c r="H30" i="11" s="1"/>
  <c r="B108" i="11"/>
  <c r="F36" i="11"/>
  <c r="H36" i="11" s="1"/>
  <c r="B113" i="11"/>
  <c r="C54" i="17"/>
  <c r="C107" i="17" s="1"/>
  <c r="C123" i="12"/>
  <c r="B120" i="12"/>
  <c r="F34" i="12"/>
  <c r="H34" i="12" s="1"/>
  <c r="C56" i="17"/>
  <c r="C109" i="17" s="1"/>
  <c r="C125" i="12"/>
  <c r="C11" i="17"/>
  <c r="C64" i="17" s="1"/>
  <c r="C95" i="11"/>
  <c r="H94" i="10"/>
  <c r="H12" i="10"/>
  <c r="G61" i="10"/>
  <c r="G108" i="10"/>
  <c r="C57" i="17"/>
  <c r="C110" i="17" s="1"/>
  <c r="C126" i="12"/>
  <c r="C41" i="17"/>
  <c r="C94" i="17" s="1"/>
  <c r="C110" i="12"/>
  <c r="K62" i="4"/>
  <c r="K63" i="4" s="1"/>
  <c r="C63" i="17"/>
  <c r="C94" i="11"/>
  <c r="D94" i="10"/>
  <c r="C108" i="10"/>
  <c r="D12" i="10"/>
  <c r="C61" i="10"/>
  <c r="C36" i="17"/>
  <c r="C89" i="17" s="1"/>
  <c r="C105" i="12"/>
  <c r="B116" i="12"/>
  <c r="F29" i="12"/>
  <c r="H29" i="12" s="1"/>
  <c r="B117" i="12"/>
  <c r="F30" i="12"/>
  <c r="H30" i="12" s="1"/>
  <c r="C36" i="7"/>
  <c r="D39" i="4"/>
  <c r="E39" i="4" s="1"/>
  <c r="F39" i="4" s="1"/>
  <c r="G39" i="4" s="1"/>
  <c r="H39" i="4" s="1"/>
  <c r="I39" i="4" s="1"/>
  <c r="G34" i="15"/>
  <c r="C58" i="4"/>
  <c r="D55" i="4" s="1"/>
  <c r="D58" i="4" s="1"/>
  <c r="E55" i="4" s="1"/>
  <c r="E58" i="4" s="1"/>
  <c r="F55" i="4" s="1"/>
  <c r="F58" i="4" s="1"/>
  <c r="G55" i="4" s="1"/>
  <c r="G58" i="4" s="1"/>
  <c r="H55" i="4" s="1"/>
  <c r="H58" i="4" s="1"/>
  <c r="I55" i="4" s="1"/>
  <c r="I58" i="4" s="1"/>
  <c r="H39" i="16"/>
  <c r="C14" i="17"/>
  <c r="C67" i="17" s="1"/>
  <c r="C98" i="11"/>
  <c r="C35" i="17"/>
  <c r="C88" i="17" s="1"/>
  <c r="C104" i="12"/>
  <c r="C34" i="17"/>
  <c r="C87" i="17" s="1"/>
  <c r="C103" i="12"/>
  <c r="G10" i="15"/>
  <c r="H9" i="15"/>
  <c r="H10" i="15" s="1"/>
  <c r="F24" i="11"/>
  <c r="H24" i="11" s="1"/>
  <c r="B77" i="11" s="1"/>
  <c r="F26" i="11"/>
  <c r="H26" i="11" s="1"/>
  <c r="B79" i="11" s="1"/>
  <c r="B87" i="11"/>
  <c r="C87" i="11" s="1"/>
  <c r="D87" i="11" s="1"/>
  <c r="E87" i="11" s="1"/>
  <c r="F87" i="11" s="1"/>
  <c r="G87" i="11" s="1"/>
  <c r="H87" i="11" s="1"/>
  <c r="B61" i="11"/>
  <c r="B95" i="12"/>
  <c r="B67" i="12"/>
  <c r="A105" i="17"/>
  <c r="A173" i="17"/>
  <c r="B121" i="12"/>
  <c r="F35" i="12"/>
  <c r="H35" i="12" s="1"/>
  <c r="B74" i="12"/>
  <c r="B13" i="18" s="1"/>
  <c r="B46" i="12"/>
  <c r="B97" i="12"/>
  <c r="B69" i="12"/>
  <c r="I52" i="16"/>
  <c r="I56" i="16" s="1"/>
  <c r="F31" i="7" s="1"/>
  <c r="J23" i="16"/>
  <c r="J43" i="16" s="1"/>
  <c r="I36" i="16"/>
  <c r="I34" i="16"/>
  <c r="I37" i="16"/>
  <c r="I38" i="16"/>
  <c r="I35" i="16"/>
  <c r="I44" i="16"/>
  <c r="I29" i="16"/>
  <c r="I33" i="16"/>
  <c r="I43" i="16"/>
  <c r="E43" i="16"/>
  <c r="E49" i="16" s="1"/>
  <c r="F43" i="16"/>
  <c r="F49" i="16" s="1"/>
  <c r="G43" i="16"/>
  <c r="G49" i="16" s="1"/>
  <c r="H43" i="16"/>
  <c r="H49" i="16" s="1"/>
  <c r="C66" i="4"/>
  <c r="B42" i="11"/>
  <c r="B70" i="12"/>
  <c r="B98" i="12"/>
  <c r="A88" i="17"/>
  <c r="A156" i="17"/>
  <c r="A223" i="17" s="1"/>
  <c r="A92" i="17"/>
  <c r="A160" i="17"/>
  <c r="A227" i="17" s="1"/>
  <c r="A96" i="17"/>
  <c r="A164" i="17"/>
  <c r="A231" i="17" s="1"/>
  <c r="A100" i="17"/>
  <c r="A168" i="17"/>
  <c r="A235" i="17" s="1"/>
  <c r="A104" i="17"/>
  <c r="A172" i="17"/>
  <c r="A106" i="17"/>
  <c r="A174" i="17"/>
  <c r="B82" i="12"/>
  <c r="B54" i="12"/>
  <c r="H28" i="15"/>
  <c r="H27" i="15"/>
  <c r="I17" i="15"/>
  <c r="H37" i="15"/>
  <c r="H43" i="15" s="1"/>
  <c r="F30" i="7" s="1"/>
  <c r="H29" i="15"/>
  <c r="E10" i="7"/>
  <c r="H38" i="6"/>
  <c r="K56" i="4"/>
  <c r="K57" i="4" s="1"/>
  <c r="B77" i="12"/>
  <c r="B49" i="12"/>
  <c r="B111" i="12"/>
  <c r="F24" i="12"/>
  <c r="H24" i="12" s="1"/>
  <c r="B113" i="12"/>
  <c r="F26" i="12"/>
  <c r="H26" i="12" s="1"/>
  <c r="H172" i="14"/>
  <c r="H177" i="14" s="1"/>
  <c r="F29" i="7" s="1"/>
  <c r="C46" i="4"/>
  <c r="D43" i="4" s="1"/>
  <c r="D63" i="4"/>
  <c r="E63" i="4" s="1"/>
  <c r="F63" i="4" s="1"/>
  <c r="G63" i="4" s="1"/>
  <c r="H63" i="4" s="1"/>
  <c r="I63" i="4" s="1"/>
  <c r="E39" i="16"/>
  <c r="F39" i="16"/>
  <c r="C51" i="4" l="1"/>
  <c r="I66" i="4"/>
  <c r="H42" i="7" s="1"/>
  <c r="D45" i="4"/>
  <c r="E45" i="4" s="1"/>
  <c r="F45" i="4" s="1"/>
  <c r="G45" i="4" s="1"/>
  <c r="H45" i="4" s="1"/>
  <c r="I45" i="4" s="1"/>
  <c r="K65" i="4"/>
  <c r="C9" i="9"/>
  <c r="D46" i="4"/>
  <c r="E43" i="4" s="1"/>
  <c r="E46" i="4" s="1"/>
  <c r="F43" i="4" s="1"/>
  <c r="F46" i="4" s="1"/>
  <c r="G43" i="4" s="1"/>
  <c r="G46" i="4" s="1"/>
  <c r="H43" i="4" s="1"/>
  <c r="H46" i="4" s="1"/>
  <c r="I43" i="4" s="1"/>
  <c r="I46" i="4" s="1"/>
  <c r="F10" i="5"/>
  <c r="F12" i="5"/>
  <c r="F14" i="5"/>
  <c r="F11" i="5"/>
  <c r="C10" i="5"/>
  <c r="D10" i="5" s="1"/>
  <c r="E10" i="5" s="1"/>
  <c r="F15" i="5"/>
  <c r="K44" i="4"/>
  <c r="K45" i="4" s="1"/>
  <c r="D78" i="11"/>
  <c r="D23" i="14" s="1"/>
  <c r="D47" i="14" s="1"/>
  <c r="B78" i="11"/>
  <c r="B52" i="11"/>
  <c r="C78" i="11"/>
  <c r="D63" i="14"/>
  <c r="F153" i="14"/>
  <c r="E78" i="11"/>
  <c r="H34" i="15"/>
  <c r="G69" i="11"/>
  <c r="F14" i="14"/>
  <c r="F38" i="14" s="1"/>
  <c r="F64" i="14" s="1"/>
  <c r="D36" i="7"/>
  <c r="E162" i="10" s="1"/>
  <c r="E64" i="14"/>
  <c r="E63" i="14"/>
  <c r="I49" i="16"/>
  <c r="E155" i="10"/>
  <c r="E170" i="10"/>
  <c r="E140" i="10"/>
  <c r="E125" i="10"/>
  <c r="E34" i="10"/>
  <c r="D64" i="14"/>
  <c r="K40" i="4"/>
  <c r="L37" i="4" s="1"/>
  <c r="L38" i="4" s="1"/>
  <c r="L39" i="4" s="1"/>
  <c r="B85" i="12"/>
  <c r="B57" i="12"/>
  <c r="D51" i="4"/>
  <c r="C67" i="4"/>
  <c r="B36" i="18"/>
  <c r="B64" i="18" s="1"/>
  <c r="C97" i="12"/>
  <c r="F170" i="10"/>
  <c r="F155" i="10"/>
  <c r="F140" i="10"/>
  <c r="F125" i="10"/>
  <c r="F34" i="10"/>
  <c r="G57" i="16"/>
  <c r="G59" i="16" s="1"/>
  <c r="D21" i="7"/>
  <c r="G48" i="6"/>
  <c r="B35" i="13"/>
  <c r="C46" i="12"/>
  <c r="B30" i="13"/>
  <c r="B87" i="13" s="1"/>
  <c r="C61" i="11"/>
  <c r="D34" i="17"/>
  <c r="D87" i="17" s="1"/>
  <c r="D103" i="12"/>
  <c r="D14" i="17"/>
  <c r="D67" i="17" s="1"/>
  <c r="D98" i="11"/>
  <c r="E11" i="7"/>
  <c r="H35" i="6"/>
  <c r="G45" i="15"/>
  <c r="G47" i="15" s="1"/>
  <c r="E20" i="7"/>
  <c r="H51" i="6"/>
  <c r="B88" i="12"/>
  <c r="B60" i="12"/>
  <c r="D63" i="17"/>
  <c r="D94" i="11"/>
  <c r="D41" i="17"/>
  <c r="D94" i="17" s="1"/>
  <c r="D110" i="12"/>
  <c r="D11" i="17"/>
  <c r="D64" i="17" s="1"/>
  <c r="D95" i="11"/>
  <c r="L49" i="4"/>
  <c r="C51" i="17"/>
  <c r="C104" i="17" s="1"/>
  <c r="D172" i="17" s="1"/>
  <c r="C120" i="12"/>
  <c r="B88" i="11"/>
  <c r="C88" i="11" s="1"/>
  <c r="D88" i="11" s="1"/>
  <c r="E88" i="11" s="1"/>
  <c r="F88" i="11" s="1"/>
  <c r="G88" i="11" s="1"/>
  <c r="H88" i="11" s="1"/>
  <c r="B62" i="11"/>
  <c r="C22" i="17"/>
  <c r="C75" i="17" s="1"/>
  <c r="C106" i="11"/>
  <c r="B35" i="18"/>
  <c r="B63" i="18" s="1"/>
  <c r="C96" i="12"/>
  <c r="B42" i="13"/>
  <c r="B99" i="13" s="1"/>
  <c r="C53" i="12"/>
  <c r="D11" i="7"/>
  <c r="G35" i="6"/>
  <c r="E147" i="10"/>
  <c r="B87" i="12"/>
  <c r="B59" i="12"/>
  <c r="B15" i="13"/>
  <c r="B72" i="13" s="1"/>
  <c r="C46" i="11"/>
  <c r="B40" i="13"/>
  <c r="B97" i="13" s="1"/>
  <c r="C51" i="12"/>
  <c r="D9" i="17"/>
  <c r="D62" i="17" s="1"/>
  <c r="D93" i="11"/>
  <c r="D33" i="17"/>
  <c r="D86" i="17" s="1"/>
  <c r="D102" i="12"/>
  <c r="B94" i="12"/>
  <c r="B66" i="12"/>
  <c r="C66" i="12" s="1"/>
  <c r="D66" i="12" s="1"/>
  <c r="E66" i="12" s="1"/>
  <c r="F66" i="12" s="1"/>
  <c r="G66" i="12" s="1"/>
  <c r="H66" i="12" s="1"/>
  <c r="D12" i="17"/>
  <c r="D65" i="17" s="1"/>
  <c r="D96" i="11"/>
  <c r="D55" i="17"/>
  <c r="D108" i="17" s="1"/>
  <c r="D124" i="12"/>
  <c r="C49" i="17"/>
  <c r="C102" i="17" s="1"/>
  <c r="C118" i="12"/>
  <c r="B19" i="14"/>
  <c r="B43" i="14" s="1"/>
  <c r="C74" i="11"/>
  <c r="D38" i="17"/>
  <c r="D91" i="17" s="1"/>
  <c r="D107" i="12"/>
  <c r="B18" i="13"/>
  <c r="B75" i="13" s="1"/>
  <c r="C49" i="11"/>
  <c r="D39" i="17"/>
  <c r="D92" i="17" s="1"/>
  <c r="D108" i="12"/>
  <c r="B86" i="11"/>
  <c r="B60" i="11"/>
  <c r="C23" i="17"/>
  <c r="C76" i="17" s="1"/>
  <c r="C107" i="11"/>
  <c r="G125" i="10"/>
  <c r="G34" i="10"/>
  <c r="G170" i="10"/>
  <c r="G155" i="10"/>
  <c r="G140" i="10"/>
  <c r="B37" i="13"/>
  <c r="B94" i="13" s="1"/>
  <c r="C48" i="12"/>
  <c r="G273" i="17"/>
  <c r="E32" i="7" s="1"/>
  <c r="I39" i="16"/>
  <c r="B38" i="13"/>
  <c r="B95" i="13" s="1"/>
  <c r="C49" i="12"/>
  <c r="B37" i="18"/>
  <c r="B65" i="18" s="1"/>
  <c r="C98" i="12"/>
  <c r="B44" i="18"/>
  <c r="C42" i="17"/>
  <c r="C95" i="17" s="1"/>
  <c r="C111" i="12"/>
  <c r="I37" i="15"/>
  <c r="I43" i="15" s="1"/>
  <c r="G30" i="7" s="1"/>
  <c r="I28" i="15"/>
  <c r="J17" i="15"/>
  <c r="I27" i="15"/>
  <c r="I29" i="15"/>
  <c r="B13" i="14"/>
  <c r="C68" i="11"/>
  <c r="E57" i="16"/>
  <c r="E59" i="16" s="1"/>
  <c r="B21" i="7"/>
  <c r="E48" i="6"/>
  <c r="B58" i="13"/>
  <c r="B115" i="13" s="1"/>
  <c r="C69" i="12"/>
  <c r="C77" i="11"/>
  <c r="D77" i="11" s="1"/>
  <c r="B51" i="11"/>
  <c r="B11" i="7"/>
  <c r="E35" i="6"/>
  <c r="B83" i="12"/>
  <c r="B55" i="12"/>
  <c r="B12" i="13"/>
  <c r="B69" i="13" s="1"/>
  <c r="B121" i="13" s="1"/>
  <c r="D43" i="11"/>
  <c r="E43" i="11" s="1"/>
  <c r="F43" i="11" s="1"/>
  <c r="G43" i="11" s="1"/>
  <c r="H43" i="11" s="1"/>
  <c r="B43" i="13"/>
  <c r="B100" i="13" s="1"/>
  <c r="C54" i="12"/>
  <c r="B11" i="13"/>
  <c r="C42" i="11"/>
  <c r="H57" i="16"/>
  <c r="H59" i="16" s="1"/>
  <c r="E21" i="7"/>
  <c r="H48" i="6"/>
  <c r="C52" i="17"/>
  <c r="C105" i="17" s="1"/>
  <c r="D173" i="17" s="1"/>
  <c r="C121" i="12"/>
  <c r="B34" i="18"/>
  <c r="B62" i="18" s="1"/>
  <c r="C95" i="12"/>
  <c r="B53" i="11"/>
  <c r="D223" i="17"/>
  <c r="D156" i="17"/>
  <c r="D177" i="10"/>
  <c r="D162" i="10"/>
  <c r="D147" i="10"/>
  <c r="D132" i="10"/>
  <c r="D23" i="9"/>
  <c r="C48" i="17"/>
  <c r="C101" i="17" s="1"/>
  <c r="C117" i="12"/>
  <c r="D224" i="17"/>
  <c r="D157" i="17"/>
  <c r="D242" i="17"/>
  <c r="D178" i="17"/>
  <c r="K51" i="4"/>
  <c r="B92" i="12"/>
  <c r="B64" i="12"/>
  <c r="C64" i="12" s="1"/>
  <c r="D64" i="12" s="1"/>
  <c r="E64" i="12" s="1"/>
  <c r="F64" i="12" s="1"/>
  <c r="G64" i="12" s="1"/>
  <c r="H64" i="12" s="1"/>
  <c r="C29" i="17"/>
  <c r="C82" i="17" s="1"/>
  <c r="C113" i="11"/>
  <c r="B55" i="11"/>
  <c r="B21" i="14"/>
  <c r="B45" i="14" s="1"/>
  <c r="C76" i="11"/>
  <c r="I19" i="4"/>
  <c r="I15" i="4"/>
  <c r="I11" i="4"/>
  <c r="I22" i="4"/>
  <c r="I18" i="4"/>
  <c r="I14" i="4"/>
  <c r="I10" i="4"/>
  <c r="J4" i="4"/>
  <c r="I21" i="4"/>
  <c r="I17" i="4"/>
  <c r="I13" i="4"/>
  <c r="I9" i="4"/>
  <c r="I20" i="4"/>
  <c r="I16" i="4"/>
  <c r="I12" i="4"/>
  <c r="I8" i="4"/>
  <c r="D14" i="8"/>
  <c r="D42" i="7"/>
  <c r="C45" i="17"/>
  <c r="C98" i="17" s="1"/>
  <c r="C114" i="12"/>
  <c r="F218" i="17"/>
  <c r="F151" i="17"/>
  <c r="D203" i="17"/>
  <c r="D136" i="17"/>
  <c r="B17" i="18"/>
  <c r="B48" i="18" s="1"/>
  <c r="C78" i="12"/>
  <c r="D204" i="17"/>
  <c r="D137" i="17"/>
  <c r="B15" i="14"/>
  <c r="B39" i="14" s="1"/>
  <c r="C70" i="11"/>
  <c r="D65" i="4"/>
  <c r="C13" i="8" s="1"/>
  <c r="D52" i="4"/>
  <c r="B19" i="18"/>
  <c r="B50" i="18" s="1"/>
  <c r="C80" i="12"/>
  <c r="B85" i="11"/>
  <c r="B59" i="11"/>
  <c r="C21" i="17"/>
  <c r="C74" i="17" s="1"/>
  <c r="C105" i="11"/>
  <c r="D228" i="17"/>
  <c r="D161" i="17"/>
  <c r="B90" i="12"/>
  <c r="B62" i="12"/>
  <c r="B17" i="13"/>
  <c r="B74" i="13" s="1"/>
  <c r="C48" i="11"/>
  <c r="D225" i="17"/>
  <c r="D158" i="17"/>
  <c r="C50" i="17"/>
  <c r="C103" i="17" s="1"/>
  <c r="C119" i="12"/>
  <c r="B16" i="14"/>
  <c r="B40" i="14" s="1"/>
  <c r="C71" i="11"/>
  <c r="B82" i="11"/>
  <c r="B56" i="11"/>
  <c r="B14" i="18"/>
  <c r="B45" i="18" s="1"/>
  <c r="C75" i="12"/>
  <c r="B18" i="14"/>
  <c r="B42" i="14" s="1"/>
  <c r="C73" i="11"/>
  <c r="I21" i="15"/>
  <c r="I23" i="15" s="1"/>
  <c r="K64" i="4"/>
  <c r="L61" i="4" s="1"/>
  <c r="H23" i="4"/>
  <c r="E35" i="7" s="1"/>
  <c r="G185" i="18"/>
  <c r="E33" i="7" s="1"/>
  <c r="H45" i="15"/>
  <c r="H47" i="15" s="1"/>
  <c r="F20" i="7"/>
  <c r="I51" i="6"/>
  <c r="I57" i="16"/>
  <c r="F21" i="7"/>
  <c r="I48" i="6"/>
  <c r="B14" i="14"/>
  <c r="B38" i="14" s="1"/>
  <c r="B21" i="18"/>
  <c r="B52" i="18" s="1"/>
  <c r="C82" i="12"/>
  <c r="C11" i="7"/>
  <c r="F35" i="6"/>
  <c r="I172" i="14"/>
  <c r="I177" i="14" s="1"/>
  <c r="G29" i="7" s="1"/>
  <c r="C44" i="17"/>
  <c r="C97" i="17" s="1"/>
  <c r="C113" i="12"/>
  <c r="B16" i="18"/>
  <c r="B47" i="18" s="1"/>
  <c r="C77" i="12"/>
  <c r="B59" i="13"/>
  <c r="B116" i="13" s="1"/>
  <c r="C70" i="12"/>
  <c r="B42" i="7"/>
  <c r="B14" i="8"/>
  <c r="B15" i="8" s="1"/>
  <c r="F57" i="16"/>
  <c r="F59" i="16" s="1"/>
  <c r="C21" i="7"/>
  <c r="F48" i="6"/>
  <c r="K23" i="16"/>
  <c r="J35" i="16"/>
  <c r="J52" i="16"/>
  <c r="J56" i="16" s="1"/>
  <c r="G31" i="7" s="1"/>
  <c r="J44" i="16"/>
  <c r="J49" i="16" s="1"/>
  <c r="J29" i="16"/>
  <c r="J34" i="16"/>
  <c r="J38" i="16"/>
  <c r="J37" i="16"/>
  <c r="J36" i="16"/>
  <c r="J33" i="16"/>
  <c r="J28" i="16"/>
  <c r="J31" i="16"/>
  <c r="J30" i="16"/>
  <c r="J32" i="16"/>
  <c r="B93" i="12"/>
  <c r="B65" i="12"/>
  <c r="C65" i="12" s="1"/>
  <c r="D65" i="12" s="1"/>
  <c r="E65" i="12" s="1"/>
  <c r="F65" i="12" s="1"/>
  <c r="G65" i="12" s="1"/>
  <c r="H65" i="12" s="1"/>
  <c r="B56" i="13"/>
  <c r="B113" i="13" s="1"/>
  <c r="C67" i="12"/>
  <c r="C73" i="17"/>
  <c r="C104" i="11"/>
  <c r="D35" i="17"/>
  <c r="D88" i="17" s="1"/>
  <c r="D104" i="12"/>
  <c r="F42" i="7"/>
  <c r="F14" i="8"/>
  <c r="B89" i="12"/>
  <c r="B61" i="12"/>
  <c r="D36" i="17"/>
  <c r="D89" i="17" s="1"/>
  <c r="D105" i="12"/>
  <c r="D57" i="17"/>
  <c r="D110" i="17" s="1"/>
  <c r="D126" i="12"/>
  <c r="D241" i="17"/>
  <c r="D177" i="17"/>
  <c r="D239" i="17"/>
  <c r="D175" i="17"/>
  <c r="B83" i="11"/>
  <c r="B57" i="11"/>
  <c r="B19" i="13"/>
  <c r="B76" i="13" s="1"/>
  <c r="C50" i="11"/>
  <c r="C42" i="7"/>
  <c r="C14" i="8"/>
  <c r="B86" i="12"/>
  <c r="B58" i="12"/>
  <c r="F30" i="17"/>
  <c r="F83" i="17" s="1"/>
  <c r="F114" i="11"/>
  <c r="D15" i="17"/>
  <c r="D68" i="17" s="1"/>
  <c r="D99" i="11"/>
  <c r="B39" i="13"/>
  <c r="B96" i="13" s="1"/>
  <c r="C50" i="12"/>
  <c r="D16" i="17"/>
  <c r="D69" i="17" s="1"/>
  <c r="D100" i="11"/>
  <c r="B13" i="13"/>
  <c r="B70" i="13" s="1"/>
  <c r="C44" i="11"/>
  <c r="H268" i="17"/>
  <c r="H243" i="17"/>
  <c r="H267" i="17"/>
  <c r="H266" i="17"/>
  <c r="H265" i="17"/>
  <c r="H214" i="17"/>
  <c r="H205" i="17"/>
  <c r="I124" i="17"/>
  <c r="H152" i="17"/>
  <c r="H219" i="17"/>
  <c r="B41" i="13"/>
  <c r="B98" i="13" s="1"/>
  <c r="C52" i="12"/>
  <c r="B54" i="11"/>
  <c r="D40" i="17"/>
  <c r="D93" i="17" s="1"/>
  <c r="D109" i="12"/>
  <c r="G42" i="7"/>
  <c r="G14" i="8"/>
  <c r="F41" i="18"/>
  <c r="F44" i="18" s="1"/>
  <c r="G40" i="18"/>
  <c r="C43" i="17"/>
  <c r="C96" i="17" s="1"/>
  <c r="C112" i="12"/>
  <c r="D201" i="17"/>
  <c r="D134" i="17"/>
  <c r="D37" i="17"/>
  <c r="D90" i="17" s="1"/>
  <c r="D106" i="12"/>
  <c r="G34" i="14"/>
  <c r="H33" i="14"/>
  <c r="H34" i="14" s="1"/>
  <c r="J255" i="13"/>
  <c r="J294" i="13"/>
  <c r="J301" i="13" s="1"/>
  <c r="H28" i="7" s="1"/>
  <c r="J280" i="13"/>
  <c r="J279" i="13"/>
  <c r="J222" i="13"/>
  <c r="J223" i="13"/>
  <c r="J221" i="13"/>
  <c r="J254" i="13"/>
  <c r="J199" i="13"/>
  <c r="B91" i="12"/>
  <c r="B63" i="12"/>
  <c r="B14" i="13"/>
  <c r="B71" i="13" s="1"/>
  <c r="C45" i="11"/>
  <c r="C28" i="17"/>
  <c r="C81" i="17" s="1"/>
  <c r="C112" i="11"/>
  <c r="B84" i="11"/>
  <c r="B58" i="11"/>
  <c r="B36" i="13"/>
  <c r="B93" i="13" s="1"/>
  <c r="C47" i="12"/>
  <c r="B16" i="13"/>
  <c r="B73" i="13" s="1"/>
  <c r="C47" i="11"/>
  <c r="K58" i="4"/>
  <c r="L55" i="4" s="1"/>
  <c r="J21" i="15"/>
  <c r="J23" i="15" s="1"/>
  <c r="C68" i="4"/>
  <c r="C18" i="17"/>
  <c r="C71" i="17" s="1"/>
  <c r="C102" i="11"/>
  <c r="D222" i="17"/>
  <c r="D155" i="17"/>
  <c r="D202" i="17"/>
  <c r="D135" i="17"/>
  <c r="C47" i="17"/>
  <c r="C100" i="17" s="1"/>
  <c r="C116" i="12"/>
  <c r="D131" i="17"/>
  <c r="D198" i="17"/>
  <c r="D229" i="17"/>
  <c r="D162" i="17"/>
  <c r="D199" i="17"/>
  <c r="D132" i="17"/>
  <c r="D56" i="17"/>
  <c r="D109" i="17" s="1"/>
  <c r="D125" i="12"/>
  <c r="D54" i="17"/>
  <c r="D107" i="17" s="1"/>
  <c r="D123" i="12"/>
  <c r="C24" i="17"/>
  <c r="C77" i="17" s="1"/>
  <c r="C108" i="11"/>
  <c r="B57" i="13"/>
  <c r="B114" i="13" s="1"/>
  <c r="C68" i="12"/>
  <c r="B20" i="18"/>
  <c r="B51" i="18" s="1"/>
  <c r="C81" i="12"/>
  <c r="C46" i="17"/>
  <c r="C99" i="17" s="1"/>
  <c r="C115" i="12"/>
  <c r="B17" i="14"/>
  <c r="B41" i="14" s="1"/>
  <c r="C72" i="11"/>
  <c r="B18" i="18"/>
  <c r="B49" i="18" s="1"/>
  <c r="C79" i="12"/>
  <c r="D197" i="17"/>
  <c r="D130" i="17"/>
  <c r="D221" i="17"/>
  <c r="D154" i="17"/>
  <c r="C53" i="17"/>
  <c r="C106" i="17" s="1"/>
  <c r="D174" i="17" s="1"/>
  <c r="C122" i="12"/>
  <c r="D133" i="17"/>
  <c r="D200" i="17"/>
  <c r="C19" i="17"/>
  <c r="C72" i="17" s="1"/>
  <c r="C103" i="11"/>
  <c r="D240" i="17"/>
  <c r="D176" i="17"/>
  <c r="E14" i="8"/>
  <c r="E42" i="7"/>
  <c r="B84" i="12"/>
  <c r="B56" i="12"/>
  <c r="D13" i="17"/>
  <c r="D66" i="17" s="1"/>
  <c r="D97" i="11"/>
  <c r="F91" i="5"/>
  <c r="F87" i="5"/>
  <c r="F83" i="5"/>
  <c r="F79" i="5"/>
  <c r="F75" i="5"/>
  <c r="F71" i="5"/>
  <c r="F67" i="5"/>
  <c r="F63" i="5"/>
  <c r="F59" i="5"/>
  <c r="F55" i="5"/>
  <c r="F51" i="5"/>
  <c r="F47" i="5"/>
  <c r="F43" i="5"/>
  <c r="F39" i="5"/>
  <c r="F35" i="5"/>
  <c r="F31" i="5"/>
  <c r="F27" i="5"/>
  <c r="F23" i="5"/>
  <c r="F19" i="5"/>
  <c r="F92" i="5"/>
  <c r="F88" i="5"/>
  <c r="F84" i="5"/>
  <c r="F80" i="5"/>
  <c r="F76" i="5"/>
  <c r="F72" i="5"/>
  <c r="F68" i="5"/>
  <c r="F64" i="5"/>
  <c r="F60" i="5"/>
  <c r="F56" i="5"/>
  <c r="F52" i="5"/>
  <c r="F48" i="5"/>
  <c r="F44" i="5"/>
  <c r="F40" i="5"/>
  <c r="F36" i="5"/>
  <c r="F32" i="5"/>
  <c r="F28" i="5"/>
  <c r="F24" i="5"/>
  <c r="F20" i="5"/>
  <c r="F16" i="5"/>
  <c r="F93" i="5"/>
  <c r="F89" i="5"/>
  <c r="F85" i="5"/>
  <c r="F81" i="5"/>
  <c r="F77" i="5"/>
  <c r="F73" i="5"/>
  <c r="F69" i="5"/>
  <c r="F65" i="5"/>
  <c r="F61" i="5"/>
  <c r="F57" i="5"/>
  <c r="F53" i="5"/>
  <c r="F49" i="5"/>
  <c r="F45" i="5"/>
  <c r="F41" i="5"/>
  <c r="F37" i="5"/>
  <c r="F33" i="5"/>
  <c r="F29" i="5"/>
  <c r="F25" i="5"/>
  <c r="F21" i="5"/>
  <c r="F17" i="5"/>
  <c r="F90" i="5"/>
  <c r="F86" i="5"/>
  <c r="F82" i="5"/>
  <c r="F78" i="5"/>
  <c r="F74" i="5"/>
  <c r="F70" i="5"/>
  <c r="F66" i="5"/>
  <c r="F62" i="5"/>
  <c r="F58" i="5"/>
  <c r="F54" i="5"/>
  <c r="F50" i="5"/>
  <c r="F46" i="5"/>
  <c r="F42" i="5"/>
  <c r="F38" i="5"/>
  <c r="F34" i="5"/>
  <c r="F30" i="5"/>
  <c r="F26" i="5"/>
  <c r="F22" i="5"/>
  <c r="F18" i="5"/>
  <c r="H181" i="18"/>
  <c r="H180" i="18"/>
  <c r="I149" i="18"/>
  <c r="D226" i="17"/>
  <c r="D159" i="17"/>
  <c r="B20" i="14"/>
  <c r="B44" i="14" s="1"/>
  <c r="C75" i="11"/>
  <c r="D227" i="17"/>
  <c r="D160" i="17"/>
  <c r="C27" i="17"/>
  <c r="C80" i="17" s="1"/>
  <c r="C111" i="11"/>
  <c r="C25" i="17"/>
  <c r="C78" i="17" s="1"/>
  <c r="C109" i="11"/>
  <c r="B15" i="18"/>
  <c r="B46" i="18" s="1"/>
  <c r="C76" i="12"/>
  <c r="H14" i="8" l="1"/>
  <c r="K66" i="4"/>
  <c r="B97" i="4" s="1"/>
  <c r="K46" i="4"/>
  <c r="L43" i="4" s="1"/>
  <c r="L44" i="4" s="1"/>
  <c r="L46" i="4" s="1"/>
  <c r="M43" i="4" s="1"/>
  <c r="M44" i="4" s="1"/>
  <c r="M46" i="4" s="1"/>
  <c r="N43" i="4" s="1"/>
  <c r="B63" i="14"/>
  <c r="D153" i="14"/>
  <c r="D96" i="14"/>
  <c r="D95" i="14"/>
  <c r="E177" i="10"/>
  <c r="E23" i="9"/>
  <c r="E132" i="10"/>
  <c r="F63" i="14"/>
  <c r="H140" i="14" s="1"/>
  <c r="F78" i="11"/>
  <c r="E23" i="14"/>
  <c r="E77" i="11"/>
  <c r="D22" i="14"/>
  <c r="D46" i="14" s="1"/>
  <c r="H69" i="11"/>
  <c r="H14" i="14" s="1"/>
  <c r="H38" i="14" s="1"/>
  <c r="G14" i="14"/>
  <c r="G38" i="14" s="1"/>
  <c r="J39" i="16"/>
  <c r="L40" i="4"/>
  <c r="M37" i="4" s="1"/>
  <c r="M38" i="4" s="1"/>
  <c r="M39" i="4" s="1"/>
  <c r="G140" i="14"/>
  <c r="H273" i="17"/>
  <c r="F32" i="7" s="1"/>
  <c r="C118" i="17"/>
  <c r="D187" i="17" s="1"/>
  <c r="J57" i="16"/>
  <c r="G21" i="7"/>
  <c r="J48" i="6"/>
  <c r="C15" i="18"/>
  <c r="C46" i="18" s="1"/>
  <c r="D76" i="12"/>
  <c r="D25" i="17"/>
  <c r="D78" i="17" s="1"/>
  <c r="D109" i="11"/>
  <c r="B23" i="18"/>
  <c r="B54" i="18" s="1"/>
  <c r="C84" i="12"/>
  <c r="C17" i="14"/>
  <c r="C41" i="14" s="1"/>
  <c r="D72" i="11"/>
  <c r="C20" i="18"/>
  <c r="C51" i="18" s="1"/>
  <c r="D81" i="12"/>
  <c r="D24" i="17"/>
  <c r="D77" i="17" s="1"/>
  <c r="D108" i="11"/>
  <c r="E56" i="17"/>
  <c r="E109" i="17" s="1"/>
  <c r="E125" i="12"/>
  <c r="D18" i="17"/>
  <c r="D71" i="17" s="1"/>
  <c r="D102" i="11"/>
  <c r="H10" i="7"/>
  <c r="K38" i="6"/>
  <c r="C36" i="13"/>
  <c r="C93" i="13" s="1"/>
  <c r="D47" i="12"/>
  <c r="D28" i="17"/>
  <c r="D81" i="17" s="1"/>
  <c r="D112" i="11"/>
  <c r="B52" i="13"/>
  <c r="B109" i="13" s="1"/>
  <c r="C63" i="12"/>
  <c r="E37" i="17"/>
  <c r="E90" i="17" s="1"/>
  <c r="E106" i="12"/>
  <c r="G41" i="18"/>
  <c r="G44" i="18" s="1"/>
  <c r="H40" i="18"/>
  <c r="H41" i="18" s="1"/>
  <c r="H44" i="18" s="1"/>
  <c r="E40" i="17"/>
  <c r="E93" i="17" s="1"/>
  <c r="E109" i="12"/>
  <c r="C41" i="13"/>
  <c r="C98" i="13" s="1"/>
  <c r="D52" i="12"/>
  <c r="I265" i="17"/>
  <c r="I214" i="17"/>
  <c r="I205" i="17"/>
  <c r="I268" i="17"/>
  <c r="I243" i="17"/>
  <c r="I267" i="17"/>
  <c r="I266" i="17"/>
  <c r="J124" i="17"/>
  <c r="I152" i="17"/>
  <c r="I219" i="17"/>
  <c r="E16" i="17"/>
  <c r="E69" i="17" s="1"/>
  <c r="E100" i="11"/>
  <c r="E15" i="17"/>
  <c r="E68" i="17" s="1"/>
  <c r="E99" i="11"/>
  <c r="B47" i="13"/>
  <c r="B104" i="13" s="1"/>
  <c r="C58" i="12"/>
  <c r="C19" i="13"/>
  <c r="C76" i="13" s="1"/>
  <c r="D50" i="11"/>
  <c r="E57" i="17"/>
  <c r="E110" i="17" s="1"/>
  <c r="E126" i="12"/>
  <c r="B50" i="13"/>
  <c r="B107" i="13" s="1"/>
  <c r="C61" i="12"/>
  <c r="E35" i="17"/>
  <c r="E88" i="17" s="1"/>
  <c r="E104" i="12"/>
  <c r="C56" i="13"/>
  <c r="C113" i="13" s="1"/>
  <c r="D67" i="12"/>
  <c r="D278" i="13"/>
  <c r="B168" i="13"/>
  <c r="D227" i="13" s="1"/>
  <c r="D232" i="17"/>
  <c r="D165" i="17"/>
  <c r="L62" i="4"/>
  <c r="L63" i="4" s="1"/>
  <c r="D154" i="14"/>
  <c r="B78" i="14"/>
  <c r="B79" i="14"/>
  <c r="B27" i="14"/>
  <c r="B51" i="14" s="1"/>
  <c r="C82" i="11"/>
  <c r="D238" i="17"/>
  <c r="D171" i="17"/>
  <c r="B126" i="13"/>
  <c r="D184" i="13" s="1"/>
  <c r="D239" i="13"/>
  <c r="D209" i="17"/>
  <c r="D142" i="17"/>
  <c r="B26" i="14"/>
  <c r="B50" i="14" s="1"/>
  <c r="C81" i="11"/>
  <c r="B31" i="18"/>
  <c r="C92" i="12"/>
  <c r="D236" i="17"/>
  <c r="D169" i="17"/>
  <c r="B24" i="14"/>
  <c r="B48" i="14" s="1"/>
  <c r="C79" i="11"/>
  <c r="C11" i="13"/>
  <c r="D42" i="11"/>
  <c r="C12" i="13"/>
  <c r="C69" i="13" s="1"/>
  <c r="B22" i="14"/>
  <c r="B46" i="14" s="1"/>
  <c r="D260" i="13"/>
  <c r="B147" i="13"/>
  <c r="D206" i="13" s="1"/>
  <c r="C37" i="13"/>
  <c r="C94" i="13" s="1"/>
  <c r="D48" i="12"/>
  <c r="D211" i="17"/>
  <c r="D144" i="17"/>
  <c r="E227" i="17"/>
  <c r="E160" i="17"/>
  <c r="E226" i="17"/>
  <c r="E159" i="17"/>
  <c r="D237" i="17"/>
  <c r="D170" i="17"/>
  <c r="B23" i="14"/>
  <c r="B47" i="14" s="1"/>
  <c r="D152" i="14" s="1"/>
  <c r="B33" i="18"/>
  <c r="C94" i="12"/>
  <c r="E197" i="17"/>
  <c r="E130" i="17"/>
  <c r="B124" i="13"/>
  <c r="D182" i="13" s="1"/>
  <c r="D237" i="13"/>
  <c r="C42" i="13"/>
  <c r="C99" i="13" s="1"/>
  <c r="D53" i="12"/>
  <c r="D22" i="17"/>
  <c r="D75" i="17" s="1"/>
  <c r="D106" i="11"/>
  <c r="D51" i="17"/>
  <c r="D104" i="17" s="1"/>
  <c r="E172" i="17" s="1"/>
  <c r="D120" i="12"/>
  <c r="E11" i="17"/>
  <c r="E64" i="17" s="1"/>
  <c r="E95" i="11"/>
  <c r="E63" i="17"/>
  <c r="E94" i="11"/>
  <c r="F171" i="10"/>
  <c r="F156" i="10"/>
  <c r="F141" i="10"/>
  <c r="F35" i="10"/>
  <c r="F126" i="10"/>
  <c r="E34" i="17"/>
  <c r="E87" i="17" s="1"/>
  <c r="E103" i="12"/>
  <c r="C35" i="13"/>
  <c r="D46" i="12"/>
  <c r="C114" i="17"/>
  <c r="I181" i="18"/>
  <c r="I180" i="18"/>
  <c r="I185" i="18" s="1"/>
  <c r="G33" i="7" s="1"/>
  <c r="J149" i="18"/>
  <c r="B45" i="13"/>
  <c r="B102" i="13" s="1"/>
  <c r="C56" i="12"/>
  <c r="D234" i="17"/>
  <c r="D167" i="17"/>
  <c r="D276" i="13"/>
  <c r="B166" i="13"/>
  <c r="D225" i="13" s="1"/>
  <c r="E239" i="17"/>
  <c r="E175" i="17"/>
  <c r="D235" i="17"/>
  <c r="D168" i="17"/>
  <c r="B125" i="13"/>
  <c r="D183" i="13" s="1"/>
  <c r="D238" i="13"/>
  <c r="B29" i="14"/>
  <c r="B53" i="14" s="1"/>
  <c r="C84" i="11"/>
  <c r="B123" i="13"/>
  <c r="D181" i="13" s="1"/>
  <c r="D236" i="13"/>
  <c r="D231" i="17"/>
  <c r="D164" i="17"/>
  <c r="H107" i="10"/>
  <c r="I93" i="10"/>
  <c r="I11" i="10"/>
  <c r="H60" i="10"/>
  <c r="G96" i="4"/>
  <c r="B25" i="14"/>
  <c r="B49" i="14" s="1"/>
  <c r="C80" i="11"/>
  <c r="B122" i="13"/>
  <c r="D180" i="13" s="1"/>
  <c r="D235" i="13"/>
  <c r="D261" i="13"/>
  <c r="B148" i="13"/>
  <c r="D207" i="13" s="1"/>
  <c r="G218" i="17"/>
  <c r="G151" i="17"/>
  <c r="D107" i="10"/>
  <c r="E93" i="10"/>
  <c r="D60" i="10"/>
  <c r="E11" i="10"/>
  <c r="C96" i="4"/>
  <c r="B28" i="14"/>
  <c r="B52" i="14" s="1"/>
  <c r="C83" i="11"/>
  <c r="E224" i="17"/>
  <c r="E157" i="17"/>
  <c r="G107" i="10"/>
  <c r="H93" i="10"/>
  <c r="H11" i="10"/>
  <c r="G60" i="10"/>
  <c r="F96" i="4"/>
  <c r="D208" i="17"/>
  <c r="D141" i="17"/>
  <c r="B32" i="18"/>
  <c r="C93" i="12"/>
  <c r="J59" i="16"/>
  <c r="G11" i="7"/>
  <c r="J35" i="6"/>
  <c r="C59" i="13"/>
  <c r="C116" i="13" s="1"/>
  <c r="D70" i="12"/>
  <c r="D44" i="17"/>
  <c r="D97" i="17" s="1"/>
  <c r="D113" i="12"/>
  <c r="C21" i="18"/>
  <c r="C52" i="18" s="1"/>
  <c r="D82" i="12"/>
  <c r="C18" i="14"/>
  <c r="C42" i="14" s="1"/>
  <c r="D73" i="11"/>
  <c r="B25" i="13"/>
  <c r="B82" i="13" s="1"/>
  <c r="C56" i="11"/>
  <c r="D50" i="17"/>
  <c r="D103" i="17" s="1"/>
  <c r="D119" i="12"/>
  <c r="C17" i="13"/>
  <c r="C74" i="13" s="1"/>
  <c r="D48" i="11"/>
  <c r="I60" i="10"/>
  <c r="I107" i="10"/>
  <c r="J93" i="10"/>
  <c r="J11" i="10"/>
  <c r="H96" i="4"/>
  <c r="D21" i="17"/>
  <c r="D74" i="17" s="1"/>
  <c r="D105" i="11"/>
  <c r="C19" i="18"/>
  <c r="C50" i="18" s="1"/>
  <c r="D80" i="12"/>
  <c r="C15" i="14"/>
  <c r="C39" i="14" s="1"/>
  <c r="D70" i="11"/>
  <c r="C17" i="18"/>
  <c r="C48" i="18" s="1"/>
  <c r="D78" i="12"/>
  <c r="E60" i="10"/>
  <c r="E107" i="10"/>
  <c r="F93" i="10"/>
  <c r="F11" i="10"/>
  <c r="D96" i="4"/>
  <c r="B24" i="13"/>
  <c r="B81" i="13" s="1"/>
  <c r="C55" i="11"/>
  <c r="D48" i="17"/>
  <c r="D101" i="17" s="1"/>
  <c r="D117" i="12"/>
  <c r="B22" i="13"/>
  <c r="B79" i="13" s="1"/>
  <c r="C53" i="11"/>
  <c r="D52" i="17"/>
  <c r="D105" i="17" s="1"/>
  <c r="E173" i="17" s="1"/>
  <c r="D121" i="12"/>
  <c r="D265" i="13"/>
  <c r="B152" i="13"/>
  <c r="D211" i="13" s="1"/>
  <c r="B22" i="18"/>
  <c r="B53" i="18" s="1"/>
  <c r="C83" i="12"/>
  <c r="B20" i="13"/>
  <c r="B77" i="13" s="1"/>
  <c r="C51" i="11"/>
  <c r="B37" i="14"/>
  <c r="C38" i="13"/>
  <c r="C95" i="13" s="1"/>
  <c r="D49" i="12"/>
  <c r="D23" i="17"/>
  <c r="D76" i="17" s="1"/>
  <c r="D107" i="11"/>
  <c r="E39" i="17"/>
  <c r="E92" i="17" s="1"/>
  <c r="E108" i="12"/>
  <c r="E38" i="17"/>
  <c r="E91" i="17" s="1"/>
  <c r="E107" i="12"/>
  <c r="D49" i="17"/>
  <c r="D102" i="17" s="1"/>
  <c r="D118" i="12"/>
  <c r="B21" i="13"/>
  <c r="B78" i="13" s="1"/>
  <c r="C52" i="11"/>
  <c r="D52" i="11" s="1"/>
  <c r="E52" i="11" s="1"/>
  <c r="F52" i="11" s="1"/>
  <c r="G52" i="11" s="1"/>
  <c r="H52" i="11" s="1"/>
  <c r="E9" i="17"/>
  <c r="E62" i="17" s="1"/>
  <c r="E93" i="11"/>
  <c r="C15" i="13"/>
  <c r="C72" i="13" s="1"/>
  <c r="D46" i="11"/>
  <c r="E229" i="17"/>
  <c r="E162" i="17"/>
  <c r="B27" i="18"/>
  <c r="B58" i="18" s="1"/>
  <c r="C88" i="12"/>
  <c r="E202" i="17"/>
  <c r="E135" i="17"/>
  <c r="B139" i="13"/>
  <c r="D197" i="13" s="1"/>
  <c r="D252" i="13"/>
  <c r="B24" i="18"/>
  <c r="B55" i="18" s="1"/>
  <c r="C85" i="12"/>
  <c r="C115" i="17"/>
  <c r="C20" i="14"/>
  <c r="C44" i="14" s="1"/>
  <c r="D75" i="11"/>
  <c r="E201" i="17"/>
  <c r="E134" i="17"/>
  <c r="D207" i="17"/>
  <c r="D140" i="17"/>
  <c r="C18" i="18"/>
  <c r="C49" i="18" s="1"/>
  <c r="D79" i="12"/>
  <c r="D46" i="17"/>
  <c r="D99" i="17" s="1"/>
  <c r="D115" i="12"/>
  <c r="C57" i="13"/>
  <c r="C114" i="13" s="1"/>
  <c r="D68" i="12"/>
  <c r="E54" i="17"/>
  <c r="E107" i="17" s="1"/>
  <c r="E123" i="12"/>
  <c r="D47" i="17"/>
  <c r="D100" i="17" s="1"/>
  <c r="D116" i="12"/>
  <c r="C16" i="13"/>
  <c r="C73" i="13" s="1"/>
  <c r="D47" i="11"/>
  <c r="B27" i="13"/>
  <c r="B84" i="13" s="1"/>
  <c r="C58" i="11"/>
  <c r="C14" i="13"/>
  <c r="C71" i="13" s="1"/>
  <c r="D45" i="11"/>
  <c r="D43" i="17"/>
  <c r="D96" i="17" s="1"/>
  <c r="D112" i="12"/>
  <c r="B23" i="13"/>
  <c r="B80" i="13" s="1"/>
  <c r="C54" i="11"/>
  <c r="C13" i="13"/>
  <c r="C70" i="13" s="1"/>
  <c r="D44" i="11"/>
  <c r="C39" i="13"/>
  <c r="C96" i="13" s="1"/>
  <c r="D50" i="12"/>
  <c r="G30" i="17"/>
  <c r="G83" i="17" s="1"/>
  <c r="G114" i="11"/>
  <c r="B26" i="13"/>
  <c r="B83" i="13" s="1"/>
  <c r="C57" i="11"/>
  <c r="E36" i="17"/>
  <c r="E89" i="17" s="1"/>
  <c r="E105" i="12"/>
  <c r="D73" i="17"/>
  <c r="D104" i="11"/>
  <c r="C107" i="10"/>
  <c r="D93" i="10"/>
  <c r="D11" i="10"/>
  <c r="C60" i="10"/>
  <c r="B96" i="4"/>
  <c r="C45" i="10"/>
  <c r="B64" i="14"/>
  <c r="B70" i="14"/>
  <c r="D142" i="14" s="1"/>
  <c r="B71" i="14"/>
  <c r="D155" i="14"/>
  <c r="B29" i="18"/>
  <c r="B60" i="18" s="1"/>
  <c r="C90" i="12"/>
  <c r="B30" i="14"/>
  <c r="B54" i="14" s="1"/>
  <c r="C85" i="11"/>
  <c r="D233" i="17"/>
  <c r="D166" i="17"/>
  <c r="D217" i="17"/>
  <c r="D150" i="17"/>
  <c r="D167" i="18"/>
  <c r="B125" i="18"/>
  <c r="B142" i="18" s="1"/>
  <c r="D155" i="18" s="1"/>
  <c r="B124" i="18"/>
  <c r="B141" i="18" s="1"/>
  <c r="D164" i="18"/>
  <c r="D163" i="18"/>
  <c r="B126" i="18"/>
  <c r="B143" i="18" s="1"/>
  <c r="D156" i="18" s="1"/>
  <c r="C43" i="13"/>
  <c r="C100" i="13" s="1"/>
  <c r="D54" i="12"/>
  <c r="B44" i="13"/>
  <c r="B101" i="13" s="1"/>
  <c r="C55" i="12"/>
  <c r="D277" i="13"/>
  <c r="B167" i="13"/>
  <c r="D226" i="13" s="1"/>
  <c r="C13" i="14"/>
  <c r="D68" i="11"/>
  <c r="J27" i="15"/>
  <c r="J37" i="15"/>
  <c r="J43" i="15" s="1"/>
  <c r="H30" i="7" s="1"/>
  <c r="J29" i="15"/>
  <c r="J28" i="15"/>
  <c r="D230" i="17"/>
  <c r="D163" i="17"/>
  <c r="B31" i="14"/>
  <c r="B55" i="14" s="1"/>
  <c r="C86" i="11"/>
  <c r="B127" i="13"/>
  <c r="D185" i="13" s="1"/>
  <c r="D240" i="13"/>
  <c r="E240" i="17"/>
  <c r="E176" i="17"/>
  <c r="E200" i="17"/>
  <c r="E133" i="17"/>
  <c r="E221" i="17"/>
  <c r="E154" i="17"/>
  <c r="D262" i="13"/>
  <c r="B149" i="13"/>
  <c r="D208" i="13" s="1"/>
  <c r="B26" i="18"/>
  <c r="B57" i="18" s="1"/>
  <c r="C87" i="12"/>
  <c r="E156" i="10"/>
  <c r="E141" i="10"/>
  <c r="E126" i="10"/>
  <c r="E35" i="10"/>
  <c r="E171" i="10"/>
  <c r="C35" i="18"/>
  <c r="C63" i="18" s="1"/>
  <c r="D96" i="12"/>
  <c r="B31" i="13"/>
  <c r="B88" i="13" s="1"/>
  <c r="C62" i="11"/>
  <c r="L50" i="4"/>
  <c r="L52" i="4" s="1"/>
  <c r="E41" i="17"/>
  <c r="E94" i="17" s="1"/>
  <c r="E110" i="12"/>
  <c r="B49" i="13"/>
  <c r="B106" i="13" s="1"/>
  <c r="C60" i="12"/>
  <c r="E14" i="17"/>
  <c r="E67" i="17" s="1"/>
  <c r="E98" i="11"/>
  <c r="C30" i="13"/>
  <c r="C87" i="13" s="1"/>
  <c r="D61" i="11"/>
  <c r="C36" i="18"/>
  <c r="C64" i="18" s="1"/>
  <c r="D97" i="12"/>
  <c r="B46" i="13"/>
  <c r="B103" i="13" s="1"/>
  <c r="C57" i="12"/>
  <c r="C116" i="17"/>
  <c r="C15" i="8"/>
  <c r="D45" i="10"/>
  <c r="E36" i="7"/>
  <c r="D215" i="17"/>
  <c r="D148" i="17"/>
  <c r="D27" i="17"/>
  <c r="D80" i="17" s="1"/>
  <c r="D111" i="11"/>
  <c r="D213" i="17"/>
  <c r="D146" i="17"/>
  <c r="E13" i="17"/>
  <c r="E66" i="17" s="1"/>
  <c r="E97" i="11"/>
  <c r="G93" i="10"/>
  <c r="G11" i="10"/>
  <c r="F107" i="10"/>
  <c r="F60" i="10"/>
  <c r="E96" i="4"/>
  <c r="D19" i="17"/>
  <c r="D72" i="17" s="1"/>
  <c r="D103" i="11"/>
  <c r="D53" i="17"/>
  <c r="D106" i="17" s="1"/>
  <c r="E174" i="17" s="1"/>
  <c r="D122" i="12"/>
  <c r="D212" i="17"/>
  <c r="D145" i="17"/>
  <c r="E241" i="17"/>
  <c r="E177" i="17"/>
  <c r="D139" i="17"/>
  <c r="D206" i="17"/>
  <c r="L56" i="4"/>
  <c r="L57" i="4" s="1"/>
  <c r="D258" i="13"/>
  <c r="B145" i="13"/>
  <c r="D204" i="13" s="1"/>
  <c r="D216" i="17"/>
  <c r="D149" i="17"/>
  <c r="B30" i="18"/>
  <c r="B61" i="18" s="1"/>
  <c r="C91" i="12"/>
  <c r="E225" i="17"/>
  <c r="E158" i="17"/>
  <c r="E228" i="17"/>
  <c r="E161" i="17"/>
  <c r="D263" i="13"/>
  <c r="B150" i="13"/>
  <c r="D209" i="13" s="1"/>
  <c r="E204" i="17"/>
  <c r="E137" i="17"/>
  <c r="E203" i="17"/>
  <c r="E136" i="17"/>
  <c r="B25" i="18"/>
  <c r="B56" i="18" s="1"/>
  <c r="C86" i="12"/>
  <c r="B128" i="13"/>
  <c r="D186" i="13" s="1"/>
  <c r="D241" i="13"/>
  <c r="E242" i="17"/>
  <c r="E178" i="17"/>
  <c r="B28" i="18"/>
  <c r="B59" i="18" s="1"/>
  <c r="C89" i="12"/>
  <c r="E223" i="17"/>
  <c r="E156" i="17"/>
  <c r="D275" i="13"/>
  <c r="B165" i="13"/>
  <c r="D224" i="13" s="1"/>
  <c r="K52" i="16"/>
  <c r="K56" i="16" s="1"/>
  <c r="H31" i="7" s="1"/>
  <c r="K35" i="16"/>
  <c r="K29" i="16"/>
  <c r="K38" i="16"/>
  <c r="K37" i="16"/>
  <c r="K44" i="16"/>
  <c r="K34" i="16"/>
  <c r="K36" i="16"/>
  <c r="K33" i="16"/>
  <c r="K30" i="16"/>
  <c r="K32" i="16"/>
  <c r="K31" i="16"/>
  <c r="K28" i="16"/>
  <c r="K43" i="16"/>
  <c r="C16" i="18"/>
  <c r="C47" i="18" s="1"/>
  <c r="D77" i="12"/>
  <c r="J172" i="14"/>
  <c r="J177" i="14" s="1"/>
  <c r="H29" i="7" s="1"/>
  <c r="D141" i="10"/>
  <c r="D126" i="10"/>
  <c r="D171" i="10"/>
  <c r="D156" i="10"/>
  <c r="D35" i="10"/>
  <c r="C14" i="14"/>
  <c r="C38" i="14" s="1"/>
  <c r="C63" i="14" s="1"/>
  <c r="E140" i="14" s="1"/>
  <c r="G10" i="7"/>
  <c r="J38" i="6"/>
  <c r="C14" i="18"/>
  <c r="D75" i="12"/>
  <c r="C16" i="14"/>
  <c r="C40" i="14" s="1"/>
  <c r="D71" i="11"/>
  <c r="B51" i="13"/>
  <c r="B108" i="13" s="1"/>
  <c r="C62" i="12"/>
  <c r="B28" i="13"/>
  <c r="B85" i="13" s="1"/>
  <c r="C59" i="11"/>
  <c r="E49" i="4"/>
  <c r="D68" i="4"/>
  <c r="D45" i="17"/>
  <c r="D98" i="17" s="1"/>
  <c r="D114" i="12"/>
  <c r="J20" i="4"/>
  <c r="J16" i="4"/>
  <c r="J12" i="4"/>
  <c r="J8" i="4"/>
  <c r="J19" i="4"/>
  <c r="J15" i="4"/>
  <c r="J11" i="4"/>
  <c r="J22" i="4"/>
  <c r="J18" i="4"/>
  <c r="J14" i="4"/>
  <c r="J10" i="4"/>
  <c r="K4" i="4"/>
  <c r="J21" i="4"/>
  <c r="J17" i="4"/>
  <c r="J13" i="4"/>
  <c r="J9" i="4"/>
  <c r="C21" i="14"/>
  <c r="C45" i="14" s="1"/>
  <c r="D76" i="11"/>
  <c r="D29" i="17"/>
  <c r="D82" i="17" s="1"/>
  <c r="D113" i="11"/>
  <c r="K67" i="4"/>
  <c r="L51" i="4"/>
  <c r="C34" i="18"/>
  <c r="C62" i="18" s="1"/>
  <c r="D95" i="12"/>
  <c r="B68" i="13"/>
  <c r="D179" i="13"/>
  <c r="D234" i="13"/>
  <c r="C126" i="10"/>
  <c r="C35" i="10"/>
  <c r="C171" i="10"/>
  <c r="C156" i="10"/>
  <c r="C141" i="10"/>
  <c r="C58" i="13"/>
  <c r="C115" i="13" s="1"/>
  <c r="D69" i="12"/>
  <c r="D42" i="17"/>
  <c r="D95" i="17" s="1"/>
  <c r="D111" i="12"/>
  <c r="C37" i="18"/>
  <c r="C65" i="18" s="1"/>
  <c r="D98" i="12"/>
  <c r="I59" i="16"/>
  <c r="F11" i="7"/>
  <c r="I35" i="6"/>
  <c r="D259" i="13"/>
  <c r="B146" i="13"/>
  <c r="D205" i="13" s="1"/>
  <c r="B29" i="13"/>
  <c r="B86" i="13" s="1"/>
  <c r="C60" i="11"/>
  <c r="C18" i="13"/>
  <c r="C75" i="13" s="1"/>
  <c r="D49" i="11"/>
  <c r="C19" i="14"/>
  <c r="C43" i="14" s="1"/>
  <c r="D74" i="11"/>
  <c r="E55" i="17"/>
  <c r="E108" i="17" s="1"/>
  <c r="E124" i="12"/>
  <c r="E12" i="17"/>
  <c r="E65" i="17" s="1"/>
  <c r="E96" i="11"/>
  <c r="E33" i="17"/>
  <c r="E86" i="17" s="1"/>
  <c r="E102" i="12"/>
  <c r="C40" i="13"/>
  <c r="C97" i="13" s="1"/>
  <c r="D51" i="12"/>
  <c r="B48" i="13"/>
  <c r="B105" i="13" s="1"/>
  <c r="C59" i="12"/>
  <c r="D264" i="13"/>
  <c r="B151" i="13"/>
  <c r="D210" i="13" s="1"/>
  <c r="D210" i="17"/>
  <c r="D143" i="17"/>
  <c r="E199" i="17"/>
  <c r="E132" i="17"/>
  <c r="E198" i="17"/>
  <c r="E131" i="17"/>
  <c r="E222" i="17"/>
  <c r="E155" i="17"/>
  <c r="B92" i="13"/>
  <c r="D67" i="4"/>
  <c r="E51" i="4"/>
  <c r="H185" i="18"/>
  <c r="F33" i="7" s="1"/>
  <c r="C119" i="17"/>
  <c r="I23" i="4"/>
  <c r="F35" i="7" s="1"/>
  <c r="I34" i="15"/>
  <c r="E45" i="10"/>
  <c r="K68" i="4" l="1"/>
  <c r="L45" i="4"/>
  <c r="M45" i="4" s="1"/>
  <c r="L65" i="4"/>
  <c r="K49" i="16"/>
  <c r="J34" i="15"/>
  <c r="F140" i="14"/>
  <c r="D140" i="14"/>
  <c r="B96" i="14"/>
  <c r="D144" i="14" s="1"/>
  <c r="B95" i="14"/>
  <c r="D139" i="14" s="1"/>
  <c r="F36" i="7"/>
  <c r="G162" i="10" s="1"/>
  <c r="F77" i="11"/>
  <c r="G77" i="11" s="1"/>
  <c r="H77" i="11" s="1"/>
  <c r="E22" i="14"/>
  <c r="G63" i="14"/>
  <c r="I140" i="14" s="1"/>
  <c r="G64" i="14"/>
  <c r="H64" i="14"/>
  <c r="H63" i="14"/>
  <c r="G78" i="11"/>
  <c r="F23" i="14"/>
  <c r="L58" i="4"/>
  <c r="M55" i="4" s="1"/>
  <c r="D114" i="17"/>
  <c r="E182" i="17" s="1"/>
  <c r="D250" i="17"/>
  <c r="M40" i="4"/>
  <c r="N37" i="4" s="1"/>
  <c r="N38" i="4" s="1"/>
  <c r="N39" i="4" s="1"/>
  <c r="N44" i="4"/>
  <c r="N46" i="4" s="1"/>
  <c r="O43" i="4" s="1"/>
  <c r="D251" i="17"/>
  <c r="D188" i="17"/>
  <c r="E67" i="4"/>
  <c r="F51" i="4"/>
  <c r="F33" i="17"/>
  <c r="F86" i="17" s="1"/>
  <c r="F102" i="12"/>
  <c r="E51" i="12"/>
  <c r="D40" i="13"/>
  <c r="D97" i="13" s="1"/>
  <c r="F12" i="17"/>
  <c r="F65" i="17" s="1"/>
  <c r="F96" i="11"/>
  <c r="D19" i="14"/>
  <c r="D43" i="14" s="1"/>
  <c r="E74" i="11"/>
  <c r="C29" i="13"/>
  <c r="C86" i="13" s="1"/>
  <c r="D60" i="11"/>
  <c r="E277" i="13"/>
  <c r="C167" i="13"/>
  <c r="E226" i="13" s="1"/>
  <c r="B120" i="13"/>
  <c r="D233" i="13"/>
  <c r="D21" i="14"/>
  <c r="D45" i="14" s="1"/>
  <c r="E76" i="11"/>
  <c r="C51" i="13"/>
  <c r="C108" i="13" s="1"/>
  <c r="D62" i="12"/>
  <c r="D14" i="18"/>
  <c r="E75" i="12"/>
  <c r="K57" i="16"/>
  <c r="H21" i="7"/>
  <c r="K48" i="6"/>
  <c r="C25" i="18"/>
  <c r="C56" i="18" s="1"/>
  <c r="D86" i="12"/>
  <c r="C30" i="18"/>
  <c r="C61" i="18" s="1"/>
  <c r="D91" i="12"/>
  <c r="E19" i="17"/>
  <c r="E72" i="17" s="1"/>
  <c r="E103" i="11"/>
  <c r="F201" i="17"/>
  <c r="F134" i="17"/>
  <c r="E215" i="17"/>
  <c r="E148" i="17"/>
  <c r="F147" i="10"/>
  <c r="F132" i="10"/>
  <c r="F177" i="10"/>
  <c r="F162" i="10"/>
  <c r="F23" i="9"/>
  <c r="F45" i="10"/>
  <c r="D247" i="17"/>
  <c r="D184" i="17"/>
  <c r="C46" i="13"/>
  <c r="C103" i="13" s="1"/>
  <c r="D57" i="12"/>
  <c r="E61" i="11"/>
  <c r="D30" i="13"/>
  <c r="D87" i="13" s="1"/>
  <c r="C49" i="13"/>
  <c r="C106" i="13" s="1"/>
  <c r="D60" i="12"/>
  <c r="B140" i="13"/>
  <c r="D198" i="13" s="1"/>
  <c r="D253" i="13"/>
  <c r="C26" i="18"/>
  <c r="C57" i="18" s="1"/>
  <c r="D87" i="12"/>
  <c r="C31" i="14"/>
  <c r="C55" i="14" s="1"/>
  <c r="D86" i="11"/>
  <c r="D13" i="14"/>
  <c r="D37" i="14" s="1"/>
  <c r="E68" i="11"/>
  <c r="C44" i="13"/>
  <c r="C101" i="13" s="1"/>
  <c r="D55" i="12"/>
  <c r="C29" i="18"/>
  <c r="C60" i="18" s="1"/>
  <c r="D90" i="12"/>
  <c r="F36" i="17"/>
  <c r="F89" i="17" s="1"/>
  <c r="F105" i="12"/>
  <c r="H30" i="17"/>
  <c r="H83" i="17" s="1"/>
  <c r="H114" i="11"/>
  <c r="I30" i="17" s="1"/>
  <c r="I83" i="17" s="1"/>
  <c r="D13" i="13"/>
  <c r="D70" i="13" s="1"/>
  <c r="E44" i="11"/>
  <c r="E43" i="17"/>
  <c r="E96" i="17" s="1"/>
  <c r="E112" i="12"/>
  <c r="B136" i="13"/>
  <c r="D194" i="13" s="1"/>
  <c r="D249" i="13"/>
  <c r="E235" i="17"/>
  <c r="E168" i="17"/>
  <c r="E276" i="13"/>
  <c r="C166" i="13"/>
  <c r="E225" i="13" s="1"/>
  <c r="C24" i="18"/>
  <c r="C55" i="18" s="1"/>
  <c r="D85" i="12"/>
  <c r="F9" i="17"/>
  <c r="F62" i="17" s="1"/>
  <c r="F93" i="11"/>
  <c r="E49" i="17"/>
  <c r="E102" i="17" s="1"/>
  <c r="E118" i="12"/>
  <c r="F39" i="17"/>
  <c r="F92" i="17" s="1"/>
  <c r="F108" i="12"/>
  <c r="E49" i="12"/>
  <c r="D38" i="13"/>
  <c r="D95" i="13" s="1"/>
  <c r="C20" i="13"/>
  <c r="C77" i="13" s="1"/>
  <c r="D51" i="11"/>
  <c r="C22" i="13"/>
  <c r="C79" i="13" s="1"/>
  <c r="D53" i="11"/>
  <c r="C24" i="13"/>
  <c r="C81" i="13" s="1"/>
  <c r="D55" i="11"/>
  <c r="D17" i="13"/>
  <c r="D74" i="13" s="1"/>
  <c r="E48" i="11"/>
  <c r="C25" i="13"/>
  <c r="C82" i="13" s="1"/>
  <c r="D56" i="11"/>
  <c r="D21" i="18"/>
  <c r="D52" i="18" s="1"/>
  <c r="E82" i="12"/>
  <c r="D59" i="13"/>
  <c r="D116" i="13" s="1"/>
  <c r="E70" i="12"/>
  <c r="C28" i="14"/>
  <c r="C52" i="14" s="1"/>
  <c r="D83" i="11"/>
  <c r="C29" i="14"/>
  <c r="C53" i="14" s="1"/>
  <c r="D84" i="11"/>
  <c r="C45" i="13"/>
  <c r="C102" i="13" s="1"/>
  <c r="D56" i="12"/>
  <c r="C92" i="13"/>
  <c r="F63" i="17"/>
  <c r="F94" i="11"/>
  <c r="E51" i="17"/>
  <c r="E104" i="17" s="1"/>
  <c r="F172" i="17" s="1"/>
  <c r="E120" i="12"/>
  <c r="E53" i="12"/>
  <c r="D42" i="13"/>
  <c r="D99" i="13" s="1"/>
  <c r="E259" i="13"/>
  <c r="C146" i="13"/>
  <c r="E205" i="13" s="1"/>
  <c r="C68" i="13"/>
  <c r="F35" i="17"/>
  <c r="F88" i="17" s="1"/>
  <c r="F104" i="12"/>
  <c r="F57" i="17"/>
  <c r="F110" i="17" s="1"/>
  <c r="F126" i="12"/>
  <c r="C47" i="13"/>
  <c r="C104" i="13" s="1"/>
  <c r="D58" i="12"/>
  <c r="F16" i="17"/>
  <c r="F69" i="17" s="1"/>
  <c r="F100" i="11"/>
  <c r="J266" i="17"/>
  <c r="J265" i="17"/>
  <c r="J214" i="17"/>
  <c r="J205" i="17"/>
  <c r="J268" i="17"/>
  <c r="J243" i="17"/>
  <c r="J267" i="17"/>
  <c r="J219" i="17"/>
  <c r="J152" i="17"/>
  <c r="F40" i="17"/>
  <c r="F93" i="17" s="1"/>
  <c r="F109" i="12"/>
  <c r="F37" i="17"/>
  <c r="F90" i="17" s="1"/>
  <c r="F106" i="12"/>
  <c r="E28" i="17"/>
  <c r="E81" i="17" s="1"/>
  <c r="E112" i="11"/>
  <c r="E206" i="17"/>
  <c r="E139" i="17"/>
  <c r="E212" i="17"/>
  <c r="E145" i="17"/>
  <c r="E213" i="17"/>
  <c r="E146" i="17"/>
  <c r="B61" i="13"/>
  <c r="B39" i="18"/>
  <c r="D116" i="17"/>
  <c r="D115" i="17"/>
  <c r="D270" i="13"/>
  <c r="B157" i="13"/>
  <c r="D216" i="13" s="1"/>
  <c r="C127" i="13"/>
  <c r="E185" i="13" s="1"/>
  <c r="E240" i="13"/>
  <c r="D37" i="18"/>
  <c r="D65" i="18" s="1"/>
  <c r="E98" i="12"/>
  <c r="D58" i="13"/>
  <c r="D115" i="13" s="1"/>
  <c r="E69" i="12"/>
  <c r="E163" i="18"/>
  <c r="C126" i="18"/>
  <c r="C143" i="18" s="1"/>
  <c r="E156" i="18" s="1"/>
  <c r="E167" i="18"/>
  <c r="C125" i="18"/>
  <c r="C142" i="18" s="1"/>
  <c r="E155" i="18" s="1"/>
  <c r="C124" i="18"/>
  <c r="C141" i="18" s="1"/>
  <c r="E164" i="18"/>
  <c r="E217" i="17"/>
  <c r="E150" i="17"/>
  <c r="E233" i="17"/>
  <c r="E166" i="17"/>
  <c r="B137" i="13"/>
  <c r="D195" i="13" s="1"/>
  <c r="D250" i="13"/>
  <c r="E155" i="14"/>
  <c r="C71" i="14"/>
  <c r="C70" i="14"/>
  <c r="E142" i="14" s="1"/>
  <c r="H140" i="10"/>
  <c r="H125" i="10"/>
  <c r="H170" i="10"/>
  <c r="H155" i="10"/>
  <c r="H34" i="10"/>
  <c r="M56" i="4"/>
  <c r="M58" i="4" s="1"/>
  <c r="N55" i="4" s="1"/>
  <c r="F13" i="17"/>
  <c r="F66" i="17" s="1"/>
  <c r="F97" i="11"/>
  <c r="E27" i="17"/>
  <c r="E80" i="17" s="1"/>
  <c r="E111" i="11"/>
  <c r="F202" i="17"/>
  <c r="F135" i="17"/>
  <c r="F229" i="17"/>
  <c r="F162" i="17"/>
  <c r="C31" i="13"/>
  <c r="C88" i="13" s="1"/>
  <c r="D62" i="11"/>
  <c r="J45" i="15"/>
  <c r="J47" i="15" s="1"/>
  <c r="H20" i="7"/>
  <c r="K51" i="6"/>
  <c r="E265" i="13"/>
  <c r="C152" i="13"/>
  <c r="E211" i="13" s="1"/>
  <c r="D154" i="18"/>
  <c r="D159" i="18" s="1"/>
  <c r="D169" i="18"/>
  <c r="D168" i="18"/>
  <c r="E208" i="17"/>
  <c r="E141" i="17"/>
  <c r="B135" i="13"/>
  <c r="D193" i="13" s="1"/>
  <c r="D248" i="13"/>
  <c r="E261" i="13"/>
  <c r="C148" i="13"/>
  <c r="E207" i="13" s="1"/>
  <c r="B132" i="13"/>
  <c r="D190" i="13" s="1"/>
  <c r="D245" i="13"/>
  <c r="C27" i="13"/>
  <c r="C84" i="13" s="1"/>
  <c r="D58" i="11"/>
  <c r="E47" i="17"/>
  <c r="E100" i="17" s="1"/>
  <c r="E116" i="12"/>
  <c r="D57" i="13"/>
  <c r="D114" i="13" s="1"/>
  <c r="E68" i="12"/>
  <c r="D18" i="18"/>
  <c r="D49" i="18" s="1"/>
  <c r="E79" i="12"/>
  <c r="D20" i="14"/>
  <c r="D44" i="14" s="1"/>
  <c r="E75" i="11"/>
  <c r="D246" i="17"/>
  <c r="D183" i="17"/>
  <c r="C124" i="13"/>
  <c r="E182" i="13" s="1"/>
  <c r="E237" i="13"/>
  <c r="B130" i="13"/>
  <c r="D188" i="13" s="1"/>
  <c r="D243" i="13"/>
  <c r="F226" i="17"/>
  <c r="F159" i="17"/>
  <c r="E211" i="17"/>
  <c r="E144" i="17"/>
  <c r="E236" i="17"/>
  <c r="E169" i="17"/>
  <c r="D17" i="18"/>
  <c r="D48" i="18" s="1"/>
  <c r="E78" i="12"/>
  <c r="D19" i="18"/>
  <c r="D50" i="18" s="1"/>
  <c r="E80" i="12"/>
  <c r="E238" i="17"/>
  <c r="E171" i="17"/>
  <c r="C79" i="14"/>
  <c r="E154" i="14"/>
  <c r="C78" i="14"/>
  <c r="E232" i="17"/>
  <c r="E165" i="17"/>
  <c r="H141" i="10"/>
  <c r="H126" i="10"/>
  <c r="H171" i="10"/>
  <c r="H156" i="10"/>
  <c r="H35" i="10"/>
  <c r="D245" i="17"/>
  <c r="D182" i="17"/>
  <c r="D35" i="13"/>
  <c r="E46" i="12"/>
  <c r="F199" i="17"/>
  <c r="F132" i="17"/>
  <c r="E210" i="17"/>
  <c r="E143" i="17"/>
  <c r="C33" i="18"/>
  <c r="D94" i="12"/>
  <c r="D37" i="13"/>
  <c r="D94" i="13" s="1"/>
  <c r="E48" i="12"/>
  <c r="C22" i="14"/>
  <c r="C46" i="14" s="1"/>
  <c r="D11" i="13"/>
  <c r="E42" i="11"/>
  <c r="C26" i="14"/>
  <c r="C50" i="14" s="1"/>
  <c r="D81" i="11"/>
  <c r="C27" i="14"/>
  <c r="C51" i="14" s="1"/>
  <c r="D82" i="11"/>
  <c r="E275" i="13"/>
  <c r="C165" i="13"/>
  <c r="E224" i="13" s="1"/>
  <c r="D272" i="13"/>
  <c r="B159" i="13"/>
  <c r="D218" i="13" s="1"/>
  <c r="C128" i="13"/>
  <c r="E186" i="13" s="1"/>
  <c r="E241" i="13"/>
  <c r="F203" i="17"/>
  <c r="F136" i="17"/>
  <c r="E263" i="13"/>
  <c r="C150" i="13"/>
  <c r="E209" i="13" s="1"/>
  <c r="D274" i="13"/>
  <c r="B161" i="13"/>
  <c r="D220" i="13" s="1"/>
  <c r="E258" i="13"/>
  <c r="C145" i="13"/>
  <c r="E204" i="13" s="1"/>
  <c r="E18" i="17"/>
  <c r="E71" i="17" s="1"/>
  <c r="E102" i="11"/>
  <c r="E24" i="17"/>
  <c r="E77" i="17" s="1"/>
  <c r="E108" i="11"/>
  <c r="D17" i="14"/>
  <c r="D41" i="14" s="1"/>
  <c r="E72" i="11"/>
  <c r="E25" i="17"/>
  <c r="E78" i="17" s="1"/>
  <c r="E109" i="11"/>
  <c r="B32" i="14"/>
  <c r="D119" i="17"/>
  <c r="F240" i="17"/>
  <c r="F176" i="17"/>
  <c r="F55" i="17"/>
  <c r="F108" i="17" s="1"/>
  <c r="F124" i="12"/>
  <c r="E230" i="17"/>
  <c r="E163" i="17"/>
  <c r="E29" i="17"/>
  <c r="E82" i="17" s="1"/>
  <c r="E113" i="11"/>
  <c r="K21" i="4"/>
  <c r="K17" i="4"/>
  <c r="K13" i="4"/>
  <c r="K9" i="4"/>
  <c r="K20" i="4"/>
  <c r="K16" i="4"/>
  <c r="K12" i="4"/>
  <c r="K8" i="4"/>
  <c r="K19" i="4"/>
  <c r="K15" i="4"/>
  <c r="K11" i="4"/>
  <c r="K22" i="4"/>
  <c r="K18" i="4"/>
  <c r="K14" i="4"/>
  <c r="K10" i="4"/>
  <c r="E45" i="17"/>
  <c r="E98" i="17" s="1"/>
  <c r="E114" i="12"/>
  <c r="C28" i="13"/>
  <c r="C85" i="13" s="1"/>
  <c r="D59" i="11"/>
  <c r="D16" i="14"/>
  <c r="D40" i="14" s="1"/>
  <c r="E71" i="11"/>
  <c r="C64" i="14"/>
  <c r="E153" i="14"/>
  <c r="D16" i="18"/>
  <c r="D47" i="18" s="1"/>
  <c r="E77" i="12"/>
  <c r="C28" i="18"/>
  <c r="C59" i="18" s="1"/>
  <c r="D89" i="12"/>
  <c r="E53" i="17"/>
  <c r="E106" i="17" s="1"/>
  <c r="F174" i="17" s="1"/>
  <c r="E122" i="12"/>
  <c r="D36" i="18"/>
  <c r="D64" i="18" s="1"/>
  <c r="E97" i="12"/>
  <c r="F14" i="17"/>
  <c r="F67" i="17" s="1"/>
  <c r="F98" i="11"/>
  <c r="F41" i="17"/>
  <c r="F94" i="17" s="1"/>
  <c r="F110" i="12"/>
  <c r="M49" i="4"/>
  <c r="D43" i="13"/>
  <c r="D100" i="13" s="1"/>
  <c r="E54" i="12"/>
  <c r="C30" i="14"/>
  <c r="C54" i="14" s="1"/>
  <c r="D85" i="11"/>
  <c r="E73" i="17"/>
  <c r="E104" i="11"/>
  <c r="C26" i="13"/>
  <c r="C83" i="13" s="1"/>
  <c r="D57" i="11"/>
  <c r="D39" i="13"/>
  <c r="D96" i="13" s="1"/>
  <c r="E50" i="12"/>
  <c r="C23" i="13"/>
  <c r="C80" i="13" s="1"/>
  <c r="D54" i="11"/>
  <c r="G10" i="5"/>
  <c r="C11" i="5" s="1"/>
  <c r="C123" i="13"/>
  <c r="E181" i="13" s="1"/>
  <c r="E236" i="13"/>
  <c r="C125" i="13"/>
  <c r="E183" i="13" s="1"/>
  <c r="E238" i="13"/>
  <c r="F239" i="17"/>
  <c r="F175" i="17"/>
  <c r="E234" i="17"/>
  <c r="E167" i="17"/>
  <c r="C27" i="18"/>
  <c r="C58" i="18" s="1"/>
  <c r="D88" i="12"/>
  <c r="D15" i="13"/>
  <c r="D72" i="13" s="1"/>
  <c r="E46" i="11"/>
  <c r="C21" i="13"/>
  <c r="C78" i="13" s="1"/>
  <c r="F38" i="17"/>
  <c r="F91" i="17" s="1"/>
  <c r="F107" i="12"/>
  <c r="E23" i="17"/>
  <c r="E76" i="17" s="1"/>
  <c r="E107" i="11"/>
  <c r="C22" i="18"/>
  <c r="C53" i="18" s="1"/>
  <c r="D83" i="12"/>
  <c r="E52" i="17"/>
  <c r="E105" i="17" s="1"/>
  <c r="F173" i="17" s="1"/>
  <c r="E121" i="12"/>
  <c r="E48" i="17"/>
  <c r="E101" i="17" s="1"/>
  <c r="E117" i="12"/>
  <c r="E209" i="17"/>
  <c r="E142" i="17"/>
  <c r="E50" i="17"/>
  <c r="E103" i="17" s="1"/>
  <c r="E119" i="12"/>
  <c r="D18" i="14"/>
  <c r="D42" i="14" s="1"/>
  <c r="E73" i="11"/>
  <c r="E44" i="17"/>
  <c r="E97" i="17" s="1"/>
  <c r="E113" i="12"/>
  <c r="J181" i="18"/>
  <c r="J180" i="18"/>
  <c r="F222" i="17"/>
  <c r="F155" i="17"/>
  <c r="F11" i="17"/>
  <c r="F64" i="17" s="1"/>
  <c r="F95" i="11"/>
  <c r="E22" i="17"/>
  <c r="E75" i="17" s="1"/>
  <c r="E106" i="11"/>
  <c r="C121" i="13"/>
  <c r="E179" i="13" s="1"/>
  <c r="E234" i="13"/>
  <c r="D141" i="14"/>
  <c r="D56" i="13"/>
  <c r="D113" i="13" s="1"/>
  <c r="E67" i="12"/>
  <c r="C50" i="13"/>
  <c r="C107" i="13" s="1"/>
  <c r="D61" i="12"/>
  <c r="D19" i="13"/>
  <c r="D76" i="13" s="1"/>
  <c r="E50" i="11"/>
  <c r="F15" i="17"/>
  <c r="F68" i="17" s="1"/>
  <c r="F99" i="11"/>
  <c r="D41" i="13"/>
  <c r="D98" i="13" s="1"/>
  <c r="E52" i="12"/>
  <c r="C52" i="13"/>
  <c r="C109" i="13" s="1"/>
  <c r="D63" i="12"/>
  <c r="E47" i="12"/>
  <c r="D36" i="13"/>
  <c r="D93" i="13" s="1"/>
  <c r="F241" i="17"/>
  <c r="F177" i="17"/>
  <c r="J23" i="4"/>
  <c r="G35" i="7" s="1"/>
  <c r="D253" i="17"/>
  <c r="F221" i="17"/>
  <c r="F154" i="17"/>
  <c r="I45" i="15"/>
  <c r="I47" i="15" s="1"/>
  <c r="G20" i="7"/>
  <c r="J51" i="6"/>
  <c r="C48" i="13"/>
  <c r="C105" i="13" s="1"/>
  <c r="D59" i="12"/>
  <c r="E49" i="11"/>
  <c r="D18" i="13"/>
  <c r="D75" i="13" s="1"/>
  <c r="D34" i="18"/>
  <c r="D62" i="18" s="1"/>
  <c r="E95" i="12"/>
  <c r="D257" i="13"/>
  <c r="B144" i="13"/>
  <c r="D203" i="13" s="1"/>
  <c r="E262" i="13"/>
  <c r="C149" i="13"/>
  <c r="E208" i="13" s="1"/>
  <c r="F200" i="17"/>
  <c r="F133" i="17"/>
  <c r="B138" i="13"/>
  <c r="D196" i="13" s="1"/>
  <c r="D251" i="13"/>
  <c r="G126" i="10"/>
  <c r="G35" i="10"/>
  <c r="G171" i="10"/>
  <c r="G156" i="10"/>
  <c r="G141" i="10"/>
  <c r="E42" i="17"/>
  <c r="E95" i="17" s="1"/>
  <c r="E111" i="12"/>
  <c r="E65" i="4"/>
  <c r="D13" i="8" s="1"/>
  <c r="D15" i="8" s="1"/>
  <c r="E52" i="4"/>
  <c r="D273" i="13"/>
  <c r="B160" i="13"/>
  <c r="D219" i="13" s="1"/>
  <c r="C45" i="18"/>
  <c r="E207" i="17"/>
  <c r="E140" i="17"/>
  <c r="D268" i="13"/>
  <c r="B155" i="13"/>
  <c r="D214" i="13" s="1"/>
  <c r="C139" i="13"/>
  <c r="E197" i="13" s="1"/>
  <c r="E252" i="13"/>
  <c r="D271" i="13"/>
  <c r="B158" i="13"/>
  <c r="D217" i="13" s="1"/>
  <c r="D35" i="18"/>
  <c r="D63" i="18" s="1"/>
  <c r="E96" i="12"/>
  <c r="C37" i="14"/>
  <c r="D266" i="13"/>
  <c r="B153" i="13"/>
  <c r="D212" i="13" s="1"/>
  <c r="F224" i="17"/>
  <c r="F157" i="17"/>
  <c r="H218" i="17"/>
  <c r="H151" i="17"/>
  <c r="C122" i="13"/>
  <c r="E180" i="13" s="1"/>
  <c r="E235" i="13"/>
  <c r="E231" i="17"/>
  <c r="E164" i="17"/>
  <c r="E45" i="11"/>
  <c r="D14" i="13"/>
  <c r="D71" i="13" s="1"/>
  <c r="E47" i="11"/>
  <c r="D16" i="13"/>
  <c r="D73" i="13" s="1"/>
  <c r="F54" i="17"/>
  <c r="F107" i="17" s="1"/>
  <c r="F123" i="12"/>
  <c r="E46" i="17"/>
  <c r="E99" i="17" s="1"/>
  <c r="E115" i="12"/>
  <c r="F197" i="17"/>
  <c r="F130" i="17"/>
  <c r="E237" i="17"/>
  <c r="E170" i="17"/>
  <c r="F227" i="17"/>
  <c r="F160" i="17"/>
  <c r="E260" i="13"/>
  <c r="C147" i="13"/>
  <c r="E206" i="13" s="1"/>
  <c r="B129" i="13"/>
  <c r="D187" i="13" s="1"/>
  <c r="D242" i="13"/>
  <c r="B131" i="13"/>
  <c r="D189" i="13" s="1"/>
  <c r="D244" i="13"/>
  <c r="B133" i="13"/>
  <c r="D191" i="13" s="1"/>
  <c r="D246" i="13"/>
  <c r="D15" i="14"/>
  <c r="D39" i="14" s="1"/>
  <c r="E70" i="11"/>
  <c r="E21" i="17"/>
  <c r="E74" i="17" s="1"/>
  <c r="E105" i="11"/>
  <c r="C126" i="13"/>
  <c r="E184" i="13" s="1"/>
  <c r="E239" i="13"/>
  <c r="B134" i="13"/>
  <c r="D192" i="13" s="1"/>
  <c r="D247" i="13"/>
  <c r="E278" i="13"/>
  <c r="C168" i="13"/>
  <c r="E227" i="13" s="1"/>
  <c r="C32" i="18"/>
  <c r="D93" i="12"/>
  <c r="C25" i="14"/>
  <c r="C49" i="14" s="1"/>
  <c r="D80" i="11"/>
  <c r="D267" i="13"/>
  <c r="B154" i="13"/>
  <c r="D213" i="13" s="1"/>
  <c r="F34" i="17"/>
  <c r="F87" i="17" s="1"/>
  <c r="F103" i="12"/>
  <c r="F198" i="17"/>
  <c r="F131" i="17"/>
  <c r="E264" i="13"/>
  <c r="C151" i="13"/>
  <c r="E210" i="13" s="1"/>
  <c r="C23" i="14"/>
  <c r="C47" i="14" s="1"/>
  <c r="D12" i="13"/>
  <c r="D69" i="13" s="1"/>
  <c r="C24" i="14"/>
  <c r="C48" i="14" s="1"/>
  <c r="D79" i="11"/>
  <c r="C31" i="18"/>
  <c r="D92" i="12"/>
  <c r="F223" i="17"/>
  <c r="F156" i="17"/>
  <c r="F242" i="17"/>
  <c r="F178" i="17"/>
  <c r="D269" i="13"/>
  <c r="B156" i="13"/>
  <c r="D215" i="13" s="1"/>
  <c r="F204" i="17"/>
  <c r="F137" i="17"/>
  <c r="F228" i="17"/>
  <c r="F161" i="17"/>
  <c r="F225" i="17"/>
  <c r="F158" i="17"/>
  <c r="E216" i="17"/>
  <c r="E149" i="17"/>
  <c r="I155" i="10"/>
  <c r="I140" i="10"/>
  <c r="I125" i="10"/>
  <c r="I34" i="10"/>
  <c r="I170" i="10"/>
  <c r="F56" i="17"/>
  <c r="F109" i="17" s="1"/>
  <c r="F125" i="12"/>
  <c r="D20" i="18"/>
  <c r="D51" i="18" s="1"/>
  <c r="E81" i="12"/>
  <c r="C23" i="18"/>
  <c r="C54" i="18" s="1"/>
  <c r="D84" i="12"/>
  <c r="D15" i="18"/>
  <c r="D46" i="18" s="1"/>
  <c r="E76" i="12"/>
  <c r="D254" i="17"/>
  <c r="B33" i="13"/>
  <c r="K39" i="16"/>
  <c r="L66" i="4"/>
  <c r="C97" i="4" s="1"/>
  <c r="D118" i="17"/>
  <c r="L64" i="4"/>
  <c r="M61" i="4" s="1"/>
  <c r="I273" i="17"/>
  <c r="G32" i="7" s="1"/>
  <c r="N45" i="4" l="1"/>
  <c r="L67" i="4"/>
  <c r="G45" i="10"/>
  <c r="G23" i="9"/>
  <c r="G177" i="10"/>
  <c r="G132" i="10"/>
  <c r="G147" i="10"/>
  <c r="D161" i="14"/>
  <c r="D160" i="14"/>
  <c r="C95" i="14"/>
  <c r="E160" i="14" s="1"/>
  <c r="C96" i="14"/>
  <c r="E144" i="14" s="1"/>
  <c r="J140" i="14"/>
  <c r="M57" i="4"/>
  <c r="H78" i="11"/>
  <c r="H23" i="14" s="1"/>
  <c r="G23" i="14"/>
  <c r="D191" i="17"/>
  <c r="B12" i="7" s="1"/>
  <c r="G36" i="7"/>
  <c r="H162" i="10" s="1"/>
  <c r="J185" i="18"/>
  <c r="H33" i="7" s="1"/>
  <c r="E253" i="17"/>
  <c r="E118" i="17"/>
  <c r="F187" i="17" s="1"/>
  <c r="E15" i="6"/>
  <c r="F6" i="6" s="1"/>
  <c r="E245" i="17"/>
  <c r="E254" i="17"/>
  <c r="E34" i="6"/>
  <c r="N56" i="4"/>
  <c r="N58" i="4" s="1"/>
  <c r="O55" i="4" s="1"/>
  <c r="G56" i="17"/>
  <c r="G109" i="17" s="1"/>
  <c r="G125" i="12"/>
  <c r="E250" i="17"/>
  <c r="E187" i="17"/>
  <c r="K59" i="16"/>
  <c r="H11" i="7"/>
  <c r="K35" i="6"/>
  <c r="E15" i="18"/>
  <c r="E46" i="18" s="1"/>
  <c r="F76" i="12"/>
  <c r="E20" i="18"/>
  <c r="E51" i="18" s="1"/>
  <c r="F81" i="12"/>
  <c r="E12" i="13"/>
  <c r="E69" i="13" s="1"/>
  <c r="F209" i="17"/>
  <c r="F142" i="17"/>
  <c r="G54" i="17"/>
  <c r="G107" i="17" s="1"/>
  <c r="G123" i="12"/>
  <c r="F236" i="13"/>
  <c r="D123" i="13"/>
  <c r="F181" i="13" s="1"/>
  <c r="F42" i="17"/>
  <c r="F95" i="17" s="1"/>
  <c r="F111" i="12"/>
  <c r="F164" i="18"/>
  <c r="F163" i="18"/>
  <c r="D126" i="18"/>
  <c r="D143" i="18" s="1"/>
  <c r="F156" i="18" s="1"/>
  <c r="F167" i="18"/>
  <c r="D125" i="18"/>
  <c r="D142" i="18" s="1"/>
  <c r="F155" i="18" s="1"/>
  <c r="D124" i="18"/>
  <c r="D141" i="18" s="1"/>
  <c r="E270" i="13"/>
  <c r="C157" i="13"/>
  <c r="E216" i="13" s="1"/>
  <c r="E63" i="12"/>
  <c r="D52" i="13"/>
  <c r="D109" i="13" s="1"/>
  <c r="G15" i="17"/>
  <c r="G68" i="17" s="1"/>
  <c r="G99" i="11"/>
  <c r="E61" i="12"/>
  <c r="D50" i="13"/>
  <c r="D107" i="13" s="1"/>
  <c r="F22" i="17"/>
  <c r="F75" i="17" s="1"/>
  <c r="F106" i="11"/>
  <c r="E18" i="14"/>
  <c r="E42" i="14" s="1"/>
  <c r="F73" i="11"/>
  <c r="F52" i="17"/>
  <c r="F105" i="17" s="1"/>
  <c r="G173" i="17" s="1"/>
  <c r="F121" i="12"/>
  <c r="F23" i="17"/>
  <c r="F76" i="17" s="1"/>
  <c r="F107" i="11"/>
  <c r="D21" i="13"/>
  <c r="D78" i="13" s="1"/>
  <c r="D27" i="18"/>
  <c r="D58" i="18" s="1"/>
  <c r="E88" i="12"/>
  <c r="D11" i="5"/>
  <c r="C132" i="13"/>
  <c r="E190" i="13" s="1"/>
  <c r="E245" i="13"/>
  <c r="C135" i="13"/>
  <c r="E193" i="13" s="1"/>
  <c r="E248" i="13"/>
  <c r="M65" i="4"/>
  <c r="M50" i="4"/>
  <c r="G202" i="17"/>
  <c r="G135" i="17"/>
  <c r="E16" i="14"/>
  <c r="E40" i="14" s="1"/>
  <c r="F71" i="11"/>
  <c r="F45" i="17"/>
  <c r="F98" i="17" s="1"/>
  <c r="F114" i="12"/>
  <c r="F213" i="17"/>
  <c r="F146" i="17"/>
  <c r="F212" i="17"/>
  <c r="F145" i="17"/>
  <c r="E141" i="14"/>
  <c r="F235" i="17"/>
  <c r="F168" i="17"/>
  <c r="F215" i="17"/>
  <c r="F148" i="17"/>
  <c r="E154" i="18"/>
  <c r="E159" i="18" s="1"/>
  <c r="E169" i="18"/>
  <c r="E168" i="18"/>
  <c r="G225" i="17"/>
  <c r="G158" i="17"/>
  <c r="D47" i="13"/>
  <c r="D104" i="13" s="1"/>
  <c r="E58" i="12"/>
  <c r="G35" i="17"/>
  <c r="G88" i="17" s="1"/>
  <c r="G104" i="12"/>
  <c r="F51" i="17"/>
  <c r="F104" i="17" s="1"/>
  <c r="G172" i="17" s="1"/>
  <c r="F120" i="12"/>
  <c r="E257" i="13"/>
  <c r="C144" i="13"/>
  <c r="E203" i="13" s="1"/>
  <c r="D29" i="14"/>
  <c r="D53" i="14" s="1"/>
  <c r="E84" i="11"/>
  <c r="F70" i="12"/>
  <c r="E59" i="13"/>
  <c r="E116" i="13" s="1"/>
  <c r="D25" i="13"/>
  <c r="D82" i="13" s="1"/>
  <c r="E56" i="11"/>
  <c r="E55" i="11"/>
  <c r="D24" i="13"/>
  <c r="D81" i="13" s="1"/>
  <c r="E51" i="11"/>
  <c r="D20" i="13"/>
  <c r="D77" i="13" s="1"/>
  <c r="G39" i="17"/>
  <c r="G92" i="17" s="1"/>
  <c r="G108" i="12"/>
  <c r="G9" i="17"/>
  <c r="G62" i="17" s="1"/>
  <c r="G93" i="11"/>
  <c r="E13" i="13"/>
  <c r="E70" i="13" s="1"/>
  <c r="F44" i="11"/>
  <c r="G36" i="17"/>
  <c r="G89" i="17" s="1"/>
  <c r="G105" i="12"/>
  <c r="E55" i="12"/>
  <c r="D44" i="13"/>
  <c r="D101" i="13" s="1"/>
  <c r="D31" i="14"/>
  <c r="D55" i="14" s="1"/>
  <c r="E86" i="11"/>
  <c r="F252" i="13"/>
  <c r="D139" i="13"/>
  <c r="F197" i="13" s="1"/>
  <c r="F19" i="17"/>
  <c r="F72" i="17" s="1"/>
  <c r="F103" i="11"/>
  <c r="D25" i="18"/>
  <c r="D56" i="18" s="1"/>
  <c r="E86" i="12"/>
  <c r="E273" i="13"/>
  <c r="C160" i="13"/>
  <c r="E219" i="13" s="1"/>
  <c r="E40" i="13"/>
  <c r="E97" i="13" s="1"/>
  <c r="F51" i="12"/>
  <c r="E114" i="17"/>
  <c r="C32" i="14"/>
  <c r="J273" i="17"/>
  <c r="H32" i="7" s="1"/>
  <c r="M62" i="4"/>
  <c r="M63" i="4" s="1"/>
  <c r="G241" i="17"/>
  <c r="G177" i="17"/>
  <c r="D31" i="18"/>
  <c r="E92" i="12"/>
  <c r="F234" i="13"/>
  <c r="D121" i="13"/>
  <c r="F179" i="13" s="1"/>
  <c r="D32" i="18"/>
  <c r="E93" i="12"/>
  <c r="F21" i="17"/>
  <c r="F74" i="17" s="1"/>
  <c r="F105" i="11"/>
  <c r="F234" i="17"/>
  <c r="F167" i="17"/>
  <c r="E16" i="13"/>
  <c r="E73" i="13" s="1"/>
  <c r="F47" i="11"/>
  <c r="E34" i="18"/>
  <c r="E62" i="18" s="1"/>
  <c r="F95" i="12"/>
  <c r="E59" i="12"/>
  <c r="D48" i="13"/>
  <c r="D105" i="13" s="1"/>
  <c r="E36" i="13"/>
  <c r="E93" i="13" s="1"/>
  <c r="F47" i="12"/>
  <c r="D150" i="13"/>
  <c r="F209" i="13" s="1"/>
  <c r="F263" i="13"/>
  <c r="F241" i="13"/>
  <c r="D128" i="13"/>
  <c r="F186" i="13" s="1"/>
  <c r="D165" i="13"/>
  <c r="F224" i="13" s="1"/>
  <c r="F275" i="13"/>
  <c r="G199" i="17"/>
  <c r="G132" i="17"/>
  <c r="F232" i="17"/>
  <c r="F165" i="17"/>
  <c r="F238" i="17"/>
  <c r="F171" i="17"/>
  <c r="F236" i="17"/>
  <c r="F169" i="17"/>
  <c r="G226" i="17"/>
  <c r="G159" i="17"/>
  <c r="F237" i="13"/>
  <c r="D124" i="13"/>
  <c r="F182" i="13" s="1"/>
  <c r="D23" i="13"/>
  <c r="D80" i="13" s="1"/>
  <c r="E54" i="11"/>
  <c r="E57" i="11"/>
  <c r="D26" i="13"/>
  <c r="D83" i="13" s="1"/>
  <c r="D30" i="14"/>
  <c r="D54" i="14" s="1"/>
  <c r="E85" i="11"/>
  <c r="G14" i="17"/>
  <c r="G67" i="17" s="1"/>
  <c r="G98" i="11"/>
  <c r="F53" i="17"/>
  <c r="F106" i="17" s="1"/>
  <c r="G174" i="17" s="1"/>
  <c r="F122" i="12"/>
  <c r="E16" i="18"/>
  <c r="E47" i="18" s="1"/>
  <c r="F77" i="12"/>
  <c r="C137" i="13"/>
  <c r="E195" i="13" s="1"/>
  <c r="E250" i="13"/>
  <c r="F25" i="17"/>
  <c r="F78" i="17" s="1"/>
  <c r="F109" i="11"/>
  <c r="F24" i="17"/>
  <c r="F77" i="17" s="1"/>
  <c r="F108" i="11"/>
  <c r="D26" i="14"/>
  <c r="D50" i="14" s="1"/>
  <c r="E81" i="11"/>
  <c r="D33" i="18"/>
  <c r="E94" i="12"/>
  <c r="E17" i="18"/>
  <c r="E48" i="18" s="1"/>
  <c r="F78" i="12"/>
  <c r="E18" i="18"/>
  <c r="E49" i="18" s="1"/>
  <c r="F79" i="12"/>
  <c r="F47" i="17"/>
  <c r="F100" i="17" s="1"/>
  <c r="F116" i="12"/>
  <c r="B13" i="7"/>
  <c r="E39" i="6"/>
  <c r="F27" i="17"/>
  <c r="F80" i="17" s="1"/>
  <c r="F111" i="11"/>
  <c r="E37" i="18"/>
  <c r="E65" i="18" s="1"/>
  <c r="F98" i="12"/>
  <c r="B12" i="18"/>
  <c r="B42" i="18"/>
  <c r="G37" i="17"/>
  <c r="G90" i="17" s="1"/>
  <c r="G106" i="12"/>
  <c r="G204" i="17"/>
  <c r="G137" i="17"/>
  <c r="G242" i="17"/>
  <c r="G178" i="17"/>
  <c r="E42" i="13"/>
  <c r="E99" i="13" s="1"/>
  <c r="F53" i="12"/>
  <c r="G198" i="17"/>
  <c r="G131" i="17"/>
  <c r="E267" i="13"/>
  <c r="C154" i="13"/>
  <c r="E213" i="13" s="1"/>
  <c r="F239" i="13"/>
  <c r="D126" i="13"/>
  <c r="F184" i="13" s="1"/>
  <c r="C131" i="13"/>
  <c r="E189" i="13" s="1"/>
  <c r="E244" i="13"/>
  <c r="E38" i="13"/>
  <c r="E95" i="13" s="1"/>
  <c r="F49" i="12"/>
  <c r="F237" i="17"/>
  <c r="F170" i="17"/>
  <c r="F231" i="17"/>
  <c r="F164" i="17"/>
  <c r="I218" i="17"/>
  <c r="I151" i="17"/>
  <c r="E271" i="13"/>
  <c r="C158" i="13"/>
  <c r="E217" i="13" s="1"/>
  <c r="E268" i="13"/>
  <c r="C155" i="13"/>
  <c r="E214" i="13" s="1"/>
  <c r="D51" i="13"/>
  <c r="D108" i="13" s="1"/>
  <c r="E62" i="12"/>
  <c r="E19" i="14"/>
  <c r="E43" i="14" s="1"/>
  <c r="F74" i="11"/>
  <c r="D149" i="13"/>
  <c r="F208" i="13" s="1"/>
  <c r="F262" i="13"/>
  <c r="F67" i="4"/>
  <c r="G51" i="4"/>
  <c r="N40" i="4"/>
  <c r="O37" i="4" s="1"/>
  <c r="L68" i="4"/>
  <c r="C33" i="13"/>
  <c r="D23" i="18"/>
  <c r="D54" i="18" s="1"/>
  <c r="E84" i="12"/>
  <c r="E152" i="14"/>
  <c r="G222" i="17"/>
  <c r="G155" i="17"/>
  <c r="F46" i="17"/>
  <c r="F99" i="17" s="1"/>
  <c r="F115" i="12"/>
  <c r="F238" i="13"/>
  <c r="D125" i="13"/>
  <c r="F183" i="13" s="1"/>
  <c r="E35" i="18"/>
  <c r="E63" i="18" s="1"/>
  <c r="F96" i="12"/>
  <c r="F49" i="4"/>
  <c r="E68" i="4"/>
  <c r="E18" i="13"/>
  <c r="E75" i="13" s="1"/>
  <c r="F49" i="11"/>
  <c r="D145" i="13"/>
  <c r="F204" i="13" s="1"/>
  <c r="F258" i="13"/>
  <c r="E41" i="13"/>
  <c r="E98" i="13" s="1"/>
  <c r="F52" i="12"/>
  <c r="E19" i="13"/>
  <c r="E76" i="13" s="1"/>
  <c r="F50" i="11"/>
  <c r="E56" i="13"/>
  <c r="E113" i="13" s="1"/>
  <c r="F67" i="12"/>
  <c r="G11" i="17"/>
  <c r="G64" i="17" s="1"/>
  <c r="G95" i="11"/>
  <c r="F44" i="17"/>
  <c r="F97" i="17" s="1"/>
  <c r="F113" i="12"/>
  <c r="F50" i="17"/>
  <c r="F103" i="17" s="1"/>
  <c r="F119" i="12"/>
  <c r="F48" i="17"/>
  <c r="F101" i="17" s="1"/>
  <c r="F117" i="12"/>
  <c r="D22" i="18"/>
  <c r="D53" i="18" s="1"/>
  <c r="E83" i="12"/>
  <c r="G38" i="17"/>
  <c r="G91" i="17" s="1"/>
  <c r="G107" i="12"/>
  <c r="E15" i="13"/>
  <c r="E72" i="13" s="1"/>
  <c r="F46" i="11"/>
  <c r="D148" i="13"/>
  <c r="F207" i="13" s="1"/>
  <c r="F261" i="13"/>
  <c r="F208" i="17"/>
  <c r="F141" i="17"/>
  <c r="D152" i="13"/>
  <c r="F211" i="13" s="1"/>
  <c r="F265" i="13"/>
  <c r="G229" i="17"/>
  <c r="G162" i="17"/>
  <c r="E59" i="11"/>
  <c r="D28" i="13"/>
  <c r="D85" i="13" s="1"/>
  <c r="F217" i="17"/>
  <c r="F150" i="17"/>
  <c r="G240" i="17"/>
  <c r="G176" i="17"/>
  <c r="D156" i="14"/>
  <c r="B12" i="14"/>
  <c r="B35" i="14"/>
  <c r="F206" i="17"/>
  <c r="F139" i="17"/>
  <c r="D68" i="13"/>
  <c r="D146" i="13"/>
  <c r="F205" i="13" s="1"/>
  <c r="F259" i="13"/>
  <c r="D92" i="13"/>
  <c r="D166" i="13"/>
  <c r="F225" i="13" s="1"/>
  <c r="F276" i="13"/>
  <c r="C136" i="13"/>
  <c r="E194" i="13" s="1"/>
  <c r="E249" i="13"/>
  <c r="C140" i="13"/>
  <c r="E198" i="13" s="1"/>
  <c r="E253" i="13"/>
  <c r="G201" i="17"/>
  <c r="G134" i="17"/>
  <c r="D167" i="13"/>
  <c r="F226" i="13" s="1"/>
  <c r="F277" i="13"/>
  <c r="E247" i="17"/>
  <c r="E184" i="17"/>
  <c r="F216" i="17"/>
  <c r="F149" i="17"/>
  <c r="G228" i="17"/>
  <c r="G161" i="17"/>
  <c r="G16" i="17"/>
  <c r="G69" i="17" s="1"/>
  <c r="G100" i="11"/>
  <c r="G57" i="17"/>
  <c r="G110" i="17" s="1"/>
  <c r="G126" i="12"/>
  <c r="C120" i="13"/>
  <c r="E233" i="13"/>
  <c r="D151" i="13"/>
  <c r="F210" i="13" s="1"/>
  <c r="F264" i="13"/>
  <c r="G63" i="17"/>
  <c r="G94" i="11"/>
  <c r="D45" i="13"/>
  <c r="D102" i="13" s="1"/>
  <c r="E56" i="12"/>
  <c r="D28" i="14"/>
  <c r="D52" i="14" s="1"/>
  <c r="E83" i="11"/>
  <c r="E21" i="18"/>
  <c r="E52" i="18" s="1"/>
  <c r="F82" i="12"/>
  <c r="E17" i="13"/>
  <c r="E74" i="13" s="1"/>
  <c r="F48" i="11"/>
  <c r="E53" i="11"/>
  <c r="D22" i="13"/>
  <c r="D79" i="13" s="1"/>
  <c r="D147" i="13"/>
  <c r="F206" i="13" s="1"/>
  <c r="F260" i="13"/>
  <c r="F49" i="17"/>
  <c r="F102" i="17" s="1"/>
  <c r="F118" i="12"/>
  <c r="D24" i="18"/>
  <c r="D55" i="18" s="1"/>
  <c r="E85" i="12"/>
  <c r="F43" i="17"/>
  <c r="F96" i="17" s="1"/>
  <c r="F112" i="12"/>
  <c r="J218" i="17"/>
  <c r="J151" i="17"/>
  <c r="D29" i="18"/>
  <c r="D60" i="18" s="1"/>
  <c r="E90" i="12"/>
  <c r="E13" i="14"/>
  <c r="E37" i="14" s="1"/>
  <c r="F68" i="11"/>
  <c r="D26" i="18"/>
  <c r="D57" i="18" s="1"/>
  <c r="E87" i="12"/>
  <c r="D49" i="13"/>
  <c r="D106" i="13" s="1"/>
  <c r="E60" i="12"/>
  <c r="E57" i="12"/>
  <c r="D46" i="13"/>
  <c r="D103" i="13" s="1"/>
  <c r="D30" i="18"/>
  <c r="D61" i="18" s="1"/>
  <c r="E91" i="12"/>
  <c r="D45" i="18"/>
  <c r="D285" i="13"/>
  <c r="D178" i="13"/>
  <c r="D284" i="13"/>
  <c r="C138" i="13"/>
  <c r="E196" i="13" s="1"/>
  <c r="E251" i="13"/>
  <c r="G200" i="17"/>
  <c r="G133" i="17"/>
  <c r="G221" i="17"/>
  <c r="G154" i="17"/>
  <c r="O44" i="4"/>
  <c r="E115" i="17"/>
  <c r="C39" i="18"/>
  <c r="N57" i="4"/>
  <c r="B65" i="13"/>
  <c r="D200" i="13" s="1"/>
  <c r="B10" i="13"/>
  <c r="D24" i="14"/>
  <c r="D48" i="14" s="1"/>
  <c r="E79" i="11"/>
  <c r="G34" i="17"/>
  <c r="G87" i="17" s="1"/>
  <c r="G103" i="12"/>
  <c r="D25" i="14"/>
  <c r="D49" i="14" s="1"/>
  <c r="E80" i="11"/>
  <c r="E15" i="14"/>
  <c r="E39" i="14" s="1"/>
  <c r="F70" i="11"/>
  <c r="G239" i="17"/>
  <c r="G175" i="17"/>
  <c r="E14" i="13"/>
  <c r="E71" i="13" s="1"/>
  <c r="F45" i="11"/>
  <c r="F230" i="17"/>
  <c r="F163" i="17"/>
  <c r="F240" i="13"/>
  <c r="D127" i="13"/>
  <c r="F185" i="13" s="1"/>
  <c r="E274" i="13"/>
  <c r="C161" i="13"/>
  <c r="E220" i="13" s="1"/>
  <c r="G203" i="17"/>
  <c r="G136" i="17"/>
  <c r="E272" i="13"/>
  <c r="C159" i="13"/>
  <c r="E218" i="13" s="1"/>
  <c r="F210" i="17"/>
  <c r="F143" i="17"/>
  <c r="D79" i="14"/>
  <c r="F154" i="14"/>
  <c r="D78" i="14"/>
  <c r="F211" i="17"/>
  <c r="F144" i="17"/>
  <c r="C130" i="13"/>
  <c r="E188" i="13" s="1"/>
  <c r="E243" i="13"/>
  <c r="E39" i="13"/>
  <c r="E96" i="13" s="1"/>
  <c r="F50" i="12"/>
  <c r="F73" i="17"/>
  <c r="F104" i="11"/>
  <c r="E43" i="13"/>
  <c r="E100" i="13" s="1"/>
  <c r="F54" i="12"/>
  <c r="G41" i="17"/>
  <c r="G94" i="17" s="1"/>
  <c r="G110" i="12"/>
  <c r="E36" i="18"/>
  <c r="E64" i="18" s="1"/>
  <c r="F97" i="12"/>
  <c r="D28" i="18"/>
  <c r="D59" i="18" s="1"/>
  <c r="E89" i="12"/>
  <c r="F155" i="14"/>
  <c r="D71" i="14"/>
  <c r="D70" i="14"/>
  <c r="F142" i="14" s="1"/>
  <c r="F233" i="17"/>
  <c r="F166" i="17"/>
  <c r="F29" i="17"/>
  <c r="F82" i="17" s="1"/>
  <c r="F113" i="11"/>
  <c r="G55" i="17"/>
  <c r="G108" i="17" s="1"/>
  <c r="G124" i="12"/>
  <c r="E251" i="17"/>
  <c r="E188" i="17"/>
  <c r="E17" i="14"/>
  <c r="E41" i="14" s="1"/>
  <c r="F72" i="11"/>
  <c r="F18" i="17"/>
  <c r="F71" i="17" s="1"/>
  <c r="F102" i="11"/>
  <c r="D27" i="14"/>
  <c r="D51" i="14" s="1"/>
  <c r="E82" i="11"/>
  <c r="E11" i="13"/>
  <c r="F42" i="11"/>
  <c r="E37" i="13"/>
  <c r="E94" i="13" s="1"/>
  <c r="F48" i="12"/>
  <c r="E35" i="13"/>
  <c r="F46" i="12"/>
  <c r="E19" i="18"/>
  <c r="E50" i="18" s="1"/>
  <c r="F80" i="12"/>
  <c r="E20" i="14"/>
  <c r="E44" i="14" s="1"/>
  <c r="F75" i="11"/>
  <c r="F68" i="12"/>
  <c r="E57" i="13"/>
  <c r="E114" i="13" s="1"/>
  <c r="D27" i="13"/>
  <c r="D84" i="13" s="1"/>
  <c r="E58" i="11"/>
  <c r="D31" i="13"/>
  <c r="D88" i="13" s="1"/>
  <c r="E62" i="11"/>
  <c r="G13" i="17"/>
  <c r="G66" i="17" s="1"/>
  <c r="G97" i="11"/>
  <c r="E58" i="13"/>
  <c r="E115" i="13" s="1"/>
  <c r="F69" i="12"/>
  <c r="E246" i="17"/>
  <c r="E183" i="17"/>
  <c r="F28" i="17"/>
  <c r="F81" i="17" s="1"/>
  <c r="F112" i="11"/>
  <c r="G40" i="17"/>
  <c r="G93" i="17" s="1"/>
  <c r="G109" i="12"/>
  <c r="E269" i="13"/>
  <c r="C156" i="13"/>
  <c r="E215" i="13" s="1"/>
  <c r="G223" i="17"/>
  <c r="G156" i="17"/>
  <c r="D168" i="13"/>
  <c r="F227" i="13" s="1"/>
  <c r="F278" i="13"/>
  <c r="C134" i="13"/>
  <c r="E192" i="13" s="1"/>
  <c r="E247" i="13"/>
  <c r="C133" i="13"/>
  <c r="E191" i="13" s="1"/>
  <c r="E246" i="13"/>
  <c r="C129" i="13"/>
  <c r="E187" i="13" s="1"/>
  <c r="E242" i="13"/>
  <c r="G227" i="17"/>
  <c r="G160" i="17"/>
  <c r="G197" i="17"/>
  <c r="G130" i="17"/>
  <c r="F235" i="13"/>
  <c r="D122" i="13"/>
  <c r="F180" i="13" s="1"/>
  <c r="G224" i="17"/>
  <c r="G157" i="17"/>
  <c r="E266" i="13"/>
  <c r="C153" i="13"/>
  <c r="E212" i="13" s="1"/>
  <c r="E30" i="13"/>
  <c r="E87" i="13" s="1"/>
  <c r="F61" i="11"/>
  <c r="F207" i="17"/>
  <c r="F140" i="17"/>
  <c r="E14" i="18"/>
  <c r="F75" i="12"/>
  <c r="E21" i="14"/>
  <c r="E45" i="14" s="1"/>
  <c r="F76" i="11"/>
  <c r="D29" i="13"/>
  <c r="D86" i="13" s="1"/>
  <c r="E60" i="11"/>
  <c r="G12" i="17"/>
  <c r="G65" i="17" s="1"/>
  <c r="G96" i="11"/>
  <c r="G33" i="17"/>
  <c r="G86" i="17" s="1"/>
  <c r="G102" i="12"/>
  <c r="E119" i="17"/>
  <c r="E116" i="17"/>
  <c r="K23" i="4"/>
  <c r="H35" i="7" s="1"/>
  <c r="C61" i="13"/>
  <c r="O45" i="4" l="1"/>
  <c r="E161" i="14"/>
  <c r="D157" i="14"/>
  <c r="D158" i="14"/>
  <c r="F139" i="14"/>
  <c r="E139" i="14"/>
  <c r="H45" i="10"/>
  <c r="H132" i="10"/>
  <c r="H177" i="10"/>
  <c r="H147" i="10"/>
  <c r="H23" i="9"/>
  <c r="F144" i="14"/>
  <c r="F161" i="14"/>
  <c r="F160" i="14"/>
  <c r="F15" i="6"/>
  <c r="G6" i="6" s="1"/>
  <c r="F250" i="17"/>
  <c r="F114" i="17"/>
  <c r="G245" i="17" s="1"/>
  <c r="D260" i="17"/>
  <c r="D262" i="17" s="1"/>
  <c r="D274" i="17" s="1"/>
  <c r="D276" i="17" s="1"/>
  <c r="D32" i="14"/>
  <c r="F116" i="17"/>
  <c r="G184" i="17" s="1"/>
  <c r="E191" i="17"/>
  <c r="C12" i="7" s="1"/>
  <c r="M64" i="4"/>
  <c r="N61" i="4" s="1"/>
  <c r="N62" i="4" s="1"/>
  <c r="N63" i="4" s="1"/>
  <c r="O56" i="4"/>
  <c r="O58" i="4" s="1"/>
  <c r="P55" i="4" s="1"/>
  <c r="E29" i="13"/>
  <c r="E86" i="13" s="1"/>
  <c r="F60" i="11"/>
  <c r="F251" i="17"/>
  <c r="F188" i="17"/>
  <c r="H221" i="17"/>
  <c r="H154" i="17"/>
  <c r="F251" i="13"/>
  <c r="D138" i="13"/>
  <c r="F196" i="13" s="1"/>
  <c r="E45" i="18"/>
  <c r="E139" i="13"/>
  <c r="G197" i="13" s="1"/>
  <c r="G252" i="13"/>
  <c r="H40" i="17"/>
  <c r="H93" i="17" s="1"/>
  <c r="H109" i="12"/>
  <c r="I40" i="17" s="1"/>
  <c r="I93" i="17" s="1"/>
  <c r="H13" i="17"/>
  <c r="H66" i="17" s="1"/>
  <c r="H97" i="11"/>
  <c r="I13" i="17" s="1"/>
  <c r="I66" i="17" s="1"/>
  <c r="E27" i="13"/>
  <c r="E84" i="13" s="1"/>
  <c r="F58" i="11"/>
  <c r="F20" i="14"/>
  <c r="F44" i="14" s="1"/>
  <c r="G75" i="11"/>
  <c r="F35" i="13"/>
  <c r="G46" i="12"/>
  <c r="F11" i="13"/>
  <c r="G42" i="11"/>
  <c r="G18" i="17"/>
  <c r="G71" i="17" s="1"/>
  <c r="G102" i="11"/>
  <c r="G29" i="17"/>
  <c r="G82" i="17" s="1"/>
  <c r="G113" i="11"/>
  <c r="H229" i="17"/>
  <c r="H162" i="17"/>
  <c r="G208" i="17"/>
  <c r="G141" i="17"/>
  <c r="F152" i="14"/>
  <c r="E30" i="18"/>
  <c r="E61" i="18" s="1"/>
  <c r="F91" i="12"/>
  <c r="E49" i="13"/>
  <c r="E106" i="13" s="1"/>
  <c r="F60" i="12"/>
  <c r="F13" i="14"/>
  <c r="G68" i="11"/>
  <c r="E24" i="18"/>
  <c r="E55" i="18" s="1"/>
  <c r="F85" i="12"/>
  <c r="F17" i="13"/>
  <c r="F74" i="13" s="1"/>
  <c r="G48" i="11"/>
  <c r="E28" i="14"/>
  <c r="E52" i="14" s="1"/>
  <c r="F83" i="11"/>
  <c r="H63" i="17"/>
  <c r="H94" i="11"/>
  <c r="I63" i="17" s="1"/>
  <c r="H16" i="17"/>
  <c r="H69" i="17" s="1"/>
  <c r="H100" i="11"/>
  <c r="I16" i="17" s="1"/>
  <c r="I69" i="17" s="1"/>
  <c r="H226" i="17"/>
  <c r="H159" i="17"/>
  <c r="G236" i="17"/>
  <c r="G169" i="17"/>
  <c r="G232" i="17"/>
  <c r="G165" i="17"/>
  <c r="E165" i="13"/>
  <c r="G224" i="13" s="1"/>
  <c r="G275" i="13"/>
  <c r="E150" i="13"/>
  <c r="G209" i="13" s="1"/>
  <c r="G263" i="13"/>
  <c r="E127" i="13"/>
  <c r="G185" i="13" s="1"/>
  <c r="G240" i="13"/>
  <c r="G234" i="17"/>
  <c r="G167" i="17"/>
  <c r="C65" i="13"/>
  <c r="E200" i="13" s="1"/>
  <c r="C10" i="13"/>
  <c r="D160" i="13"/>
  <c r="F219" i="13" s="1"/>
  <c r="F273" i="13"/>
  <c r="H225" i="17"/>
  <c r="H158" i="17"/>
  <c r="C128" i="10"/>
  <c r="C37" i="10"/>
  <c r="C173" i="10"/>
  <c r="C158" i="10"/>
  <c r="C143" i="10"/>
  <c r="F18" i="18"/>
  <c r="F49" i="18" s="1"/>
  <c r="G79" i="12"/>
  <c r="E33" i="18"/>
  <c r="F94" i="12"/>
  <c r="E26" i="14"/>
  <c r="E50" i="14" s="1"/>
  <c r="F81" i="11"/>
  <c r="G25" i="17"/>
  <c r="G78" i="17" s="1"/>
  <c r="G109" i="11"/>
  <c r="F16" i="18"/>
  <c r="F47" i="18" s="1"/>
  <c r="G77" i="12"/>
  <c r="H14" i="17"/>
  <c r="H67" i="17" s="1"/>
  <c r="H98" i="11"/>
  <c r="I14" i="17" s="1"/>
  <c r="I67" i="17" s="1"/>
  <c r="F248" i="13"/>
  <c r="D135" i="13"/>
  <c r="F193" i="13" s="1"/>
  <c r="D157" i="13"/>
  <c r="F216" i="13" s="1"/>
  <c r="F270" i="13"/>
  <c r="F16" i="13"/>
  <c r="F73" i="13" s="1"/>
  <c r="G47" i="11"/>
  <c r="E32" i="18"/>
  <c r="F93" i="12"/>
  <c r="E31" i="18"/>
  <c r="F92" i="12"/>
  <c r="C35" i="14"/>
  <c r="E156" i="14"/>
  <c r="C12" i="14"/>
  <c r="E149" i="13"/>
  <c r="G208" i="13" s="1"/>
  <c r="G262" i="13"/>
  <c r="E44" i="13"/>
  <c r="E101" i="13" s="1"/>
  <c r="F55" i="12"/>
  <c r="E122" i="13"/>
  <c r="G180" i="13" s="1"/>
  <c r="G235" i="13"/>
  <c r="H227" i="17"/>
  <c r="H160" i="17"/>
  <c r="E24" i="13"/>
  <c r="E81" i="13" s="1"/>
  <c r="F55" i="11"/>
  <c r="F59" i="13"/>
  <c r="F116" i="13" s="1"/>
  <c r="G70" i="12"/>
  <c r="H223" i="17"/>
  <c r="H156" i="17"/>
  <c r="F16" i="14"/>
  <c r="F40" i="14" s="1"/>
  <c r="G71" i="11"/>
  <c r="M66" i="4"/>
  <c r="D97" i="4" s="1"/>
  <c r="M51" i="4"/>
  <c r="F243" i="13"/>
  <c r="D130" i="13"/>
  <c r="F188" i="13" s="1"/>
  <c r="G210" i="17"/>
  <c r="G143" i="17"/>
  <c r="H203" i="17"/>
  <c r="H136" i="17"/>
  <c r="G230" i="17"/>
  <c r="G163" i="17"/>
  <c r="I156" i="10"/>
  <c r="I141" i="10"/>
  <c r="I126" i="10"/>
  <c r="I35" i="10"/>
  <c r="I171" i="10"/>
  <c r="H56" i="17"/>
  <c r="H109" i="17" s="1"/>
  <c r="H125" i="12"/>
  <c r="I56" i="17" s="1"/>
  <c r="I109" i="17" s="1"/>
  <c r="F119" i="17"/>
  <c r="O57" i="4"/>
  <c r="O46" i="4"/>
  <c r="P43" i="4" s="1"/>
  <c r="D229" i="13"/>
  <c r="H36" i="7"/>
  <c r="F14" i="18"/>
  <c r="G75" i="12"/>
  <c r="G216" i="17"/>
  <c r="G149" i="17"/>
  <c r="E167" i="13"/>
  <c r="G226" i="13" s="1"/>
  <c r="G277" i="13"/>
  <c r="F253" i="13"/>
  <c r="D140" i="13"/>
  <c r="F198" i="13" s="1"/>
  <c r="F57" i="13"/>
  <c r="F114" i="13" s="1"/>
  <c r="G68" i="12"/>
  <c r="E146" i="13"/>
  <c r="G205" i="13" s="1"/>
  <c r="G259" i="13"/>
  <c r="H240" i="17"/>
  <c r="H176" i="17"/>
  <c r="E28" i="18"/>
  <c r="E59" i="18" s="1"/>
  <c r="F89" i="12"/>
  <c r="H41" i="17"/>
  <c r="H94" i="17" s="1"/>
  <c r="H110" i="12"/>
  <c r="I41" i="17" s="1"/>
  <c r="I94" i="17" s="1"/>
  <c r="G73" i="17"/>
  <c r="G104" i="11"/>
  <c r="F141" i="14"/>
  <c r="E25" i="14"/>
  <c r="E49" i="14" s="1"/>
  <c r="F80" i="11"/>
  <c r="E47" i="14"/>
  <c r="D282" i="13"/>
  <c r="D283" i="13"/>
  <c r="E46" i="13"/>
  <c r="E103" i="13" s="1"/>
  <c r="F57" i="12"/>
  <c r="G231" i="17"/>
  <c r="G164" i="17"/>
  <c r="G237" i="17"/>
  <c r="G170" i="17"/>
  <c r="E22" i="13"/>
  <c r="E79" i="13" s="1"/>
  <c r="F53" i="11"/>
  <c r="D154" i="13"/>
  <c r="F213" i="13" s="1"/>
  <c r="F267" i="13"/>
  <c r="H242" i="17"/>
  <c r="H178" i="17"/>
  <c r="D144" i="13"/>
  <c r="F203" i="13" s="1"/>
  <c r="F257" i="13"/>
  <c r="H38" i="17"/>
  <c r="H91" i="17" s="1"/>
  <c r="H107" i="12"/>
  <c r="I38" i="17" s="1"/>
  <c r="I91" i="17" s="1"/>
  <c r="G48" i="17"/>
  <c r="G101" i="17" s="1"/>
  <c r="G117" i="12"/>
  <c r="G44" i="17"/>
  <c r="G97" i="17" s="1"/>
  <c r="G113" i="12"/>
  <c r="F56" i="13"/>
  <c r="F113" i="13" s="1"/>
  <c r="G67" i="12"/>
  <c r="F41" i="13"/>
  <c r="F98" i="13" s="1"/>
  <c r="G52" i="12"/>
  <c r="F18" i="13"/>
  <c r="F75" i="13" s="1"/>
  <c r="G49" i="11"/>
  <c r="F35" i="18"/>
  <c r="F63" i="18" s="1"/>
  <c r="G96" i="12"/>
  <c r="G46" i="17"/>
  <c r="G99" i="17" s="1"/>
  <c r="G115" i="12"/>
  <c r="E51" i="13"/>
  <c r="E108" i="13" s="1"/>
  <c r="F62" i="12"/>
  <c r="H37" i="17"/>
  <c r="H90" i="17" s="1"/>
  <c r="H106" i="12"/>
  <c r="I37" i="17" s="1"/>
  <c r="I90" i="17" s="1"/>
  <c r="F37" i="18"/>
  <c r="F65" i="18" s="1"/>
  <c r="G98" i="12"/>
  <c r="G235" i="17"/>
  <c r="G168" i="17"/>
  <c r="G212" i="17"/>
  <c r="G145" i="17"/>
  <c r="F245" i="13"/>
  <c r="D132" i="13"/>
  <c r="F190" i="13" s="1"/>
  <c r="E145" i="13"/>
  <c r="G204" i="13" s="1"/>
  <c r="G258" i="13"/>
  <c r="E124" i="18"/>
  <c r="E141" i="18" s="1"/>
  <c r="G164" i="18"/>
  <c r="G163" i="18"/>
  <c r="E126" i="18"/>
  <c r="E143" i="18" s="1"/>
  <c r="G156" i="18" s="1"/>
  <c r="G167" i="18"/>
  <c r="E125" i="18"/>
  <c r="E142" i="18" s="1"/>
  <c r="G155" i="18" s="1"/>
  <c r="G209" i="17"/>
  <c r="G142" i="17"/>
  <c r="F40" i="13"/>
  <c r="F97" i="13" s="1"/>
  <c r="G51" i="12"/>
  <c r="E25" i="18"/>
  <c r="E56" i="18" s="1"/>
  <c r="F86" i="12"/>
  <c r="D153" i="13"/>
  <c r="F212" i="13" s="1"/>
  <c r="F266" i="13"/>
  <c r="F13" i="13"/>
  <c r="F70" i="13" s="1"/>
  <c r="G44" i="11"/>
  <c r="H39" i="17"/>
  <c r="H92" i="17" s="1"/>
  <c r="H108" i="12"/>
  <c r="I39" i="17" s="1"/>
  <c r="I92" i="17" s="1"/>
  <c r="F246" i="13"/>
  <c r="D133" i="13"/>
  <c r="F191" i="13" s="1"/>
  <c r="E168" i="13"/>
  <c r="G227" i="13" s="1"/>
  <c r="G278" i="13"/>
  <c r="H35" i="17"/>
  <c r="H88" i="17" s="1"/>
  <c r="H104" i="12"/>
  <c r="I35" i="17" s="1"/>
  <c r="I88" i="17" s="1"/>
  <c r="F39" i="6"/>
  <c r="C13" i="7"/>
  <c r="E259" i="17"/>
  <c r="G233" i="17"/>
  <c r="G166" i="17"/>
  <c r="E11" i="5"/>
  <c r="E21" i="13"/>
  <c r="E78" i="13" s="1"/>
  <c r="G52" i="17"/>
  <c r="G105" i="17" s="1"/>
  <c r="H173" i="17" s="1"/>
  <c r="G121" i="12"/>
  <c r="G22" i="17"/>
  <c r="G75" i="17" s="1"/>
  <c r="G106" i="11"/>
  <c r="H15" i="17"/>
  <c r="H68" i="17" s="1"/>
  <c r="H99" i="11"/>
  <c r="I15" i="17" s="1"/>
  <c r="I68" i="17" s="1"/>
  <c r="G42" i="17"/>
  <c r="G95" i="17" s="1"/>
  <c r="G111" i="12"/>
  <c r="F20" i="18"/>
  <c r="F51" i="18" s="1"/>
  <c r="G81" i="12"/>
  <c r="D33" i="13"/>
  <c r="H33" i="17"/>
  <c r="H86" i="17" s="1"/>
  <c r="H102" i="12"/>
  <c r="I33" i="17" s="1"/>
  <c r="I86" i="17" s="1"/>
  <c r="H200" i="17"/>
  <c r="H133" i="17"/>
  <c r="G28" i="17"/>
  <c r="G81" i="17" s="1"/>
  <c r="G112" i="11"/>
  <c r="F58" i="13"/>
  <c r="F115" i="13" s="1"/>
  <c r="G69" i="12"/>
  <c r="E31" i="13"/>
  <c r="E88" i="13" s="1"/>
  <c r="F62" i="11"/>
  <c r="E166" i="13"/>
  <c r="G225" i="13" s="1"/>
  <c r="G276" i="13"/>
  <c r="F19" i="18"/>
  <c r="F50" i="18" s="1"/>
  <c r="G80" i="12"/>
  <c r="F37" i="13"/>
  <c r="F94" i="13" s="1"/>
  <c r="G48" i="12"/>
  <c r="E27" i="14"/>
  <c r="E51" i="14" s="1"/>
  <c r="F82" i="11"/>
  <c r="F17" i="14"/>
  <c r="F41" i="14" s="1"/>
  <c r="G72" i="11"/>
  <c r="H55" i="17"/>
  <c r="H108" i="17" s="1"/>
  <c r="H124" i="12"/>
  <c r="I55" i="17" s="1"/>
  <c r="I108" i="17" s="1"/>
  <c r="E152" i="13"/>
  <c r="G211" i="13" s="1"/>
  <c r="G265" i="13"/>
  <c r="E148" i="13"/>
  <c r="G207" i="13" s="1"/>
  <c r="G261" i="13"/>
  <c r="E123" i="13"/>
  <c r="G181" i="13" s="1"/>
  <c r="G236" i="13"/>
  <c r="H222" i="17"/>
  <c r="H155" i="17"/>
  <c r="F246" i="17"/>
  <c r="F183" i="17"/>
  <c r="D155" i="13"/>
  <c r="F214" i="13" s="1"/>
  <c r="F268" i="13"/>
  <c r="E26" i="18"/>
  <c r="E57" i="18" s="1"/>
  <c r="F87" i="12"/>
  <c r="E29" i="18"/>
  <c r="E60" i="18" s="1"/>
  <c r="F90" i="12"/>
  <c r="G43" i="17"/>
  <c r="G96" i="17" s="1"/>
  <c r="G112" i="12"/>
  <c r="G49" i="17"/>
  <c r="G102" i="17" s="1"/>
  <c r="G118" i="12"/>
  <c r="F244" i="13"/>
  <c r="D131" i="13"/>
  <c r="F189" i="13" s="1"/>
  <c r="F21" i="18"/>
  <c r="F52" i="18" s="1"/>
  <c r="G82" i="12"/>
  <c r="E45" i="13"/>
  <c r="E102" i="13" s="1"/>
  <c r="F56" i="12"/>
  <c r="H57" i="17"/>
  <c r="H110" i="17" s="1"/>
  <c r="H126" i="12"/>
  <c r="I57" i="17" s="1"/>
  <c r="I110" i="17" s="1"/>
  <c r="F233" i="13"/>
  <c r="D120" i="13"/>
  <c r="D159" i="14"/>
  <c r="D146" i="14"/>
  <c r="D148" i="14" s="1"/>
  <c r="E28" i="13"/>
  <c r="E85" i="13" s="1"/>
  <c r="F59" i="11"/>
  <c r="E124" i="13"/>
  <c r="G182" i="13" s="1"/>
  <c r="G237" i="13"/>
  <c r="G238" i="17"/>
  <c r="G171" i="17"/>
  <c r="H199" i="17"/>
  <c r="H132" i="17"/>
  <c r="E128" i="13"/>
  <c r="G186" i="13" s="1"/>
  <c r="G241" i="13"/>
  <c r="F52" i="4"/>
  <c r="F65" i="4"/>
  <c r="E13" i="8" s="1"/>
  <c r="E15" i="8" s="1"/>
  <c r="E23" i="18"/>
  <c r="E54" i="18" s="1"/>
  <c r="F84" i="12"/>
  <c r="O38" i="4"/>
  <c r="O39" i="4" s="1"/>
  <c r="E147" i="13"/>
  <c r="G206" i="13" s="1"/>
  <c r="G260" i="13"/>
  <c r="E151" i="13"/>
  <c r="G210" i="13" s="1"/>
  <c r="G264" i="13"/>
  <c r="D165" i="18"/>
  <c r="D166" i="18"/>
  <c r="G215" i="17"/>
  <c r="G148" i="17"/>
  <c r="G47" i="17"/>
  <c r="G100" i="17" s="1"/>
  <c r="G116" i="12"/>
  <c r="F17" i="18"/>
  <c r="F48" i="18" s="1"/>
  <c r="G78" i="12"/>
  <c r="E46" i="14"/>
  <c r="G24" i="17"/>
  <c r="G77" i="17" s="1"/>
  <c r="G108" i="11"/>
  <c r="G53" i="17"/>
  <c r="G106" i="17" s="1"/>
  <c r="H174" i="17" s="1"/>
  <c r="G122" i="12"/>
  <c r="E30" i="14"/>
  <c r="E54" i="14" s="1"/>
  <c r="F85" i="11"/>
  <c r="E23" i="13"/>
  <c r="E80" i="13" s="1"/>
  <c r="F54" i="11"/>
  <c r="F36" i="13"/>
  <c r="F93" i="13" s="1"/>
  <c r="G47" i="12"/>
  <c r="F34" i="18"/>
  <c r="F62" i="18" s="1"/>
  <c r="G95" i="12"/>
  <c r="G21" i="17"/>
  <c r="G74" i="17" s="1"/>
  <c r="G105" i="11"/>
  <c r="F245" i="17"/>
  <c r="F182" i="17"/>
  <c r="F254" i="17"/>
  <c r="F253" i="17"/>
  <c r="G207" i="17"/>
  <c r="G140" i="17"/>
  <c r="H224" i="17"/>
  <c r="H157" i="17"/>
  <c r="H197" i="17"/>
  <c r="H130" i="17"/>
  <c r="E20" i="13"/>
  <c r="E77" i="13" s="1"/>
  <c r="F51" i="11"/>
  <c r="F247" i="13"/>
  <c r="D134" i="13"/>
  <c r="F192" i="13" s="1"/>
  <c r="D156" i="13"/>
  <c r="F215" i="13" s="1"/>
  <c r="F269" i="13"/>
  <c r="G45" i="17"/>
  <c r="G98" i="17" s="1"/>
  <c r="G114" i="12"/>
  <c r="G211" i="17"/>
  <c r="G144" i="17"/>
  <c r="E79" i="14"/>
  <c r="G154" i="14"/>
  <c r="E78" i="14"/>
  <c r="E50" i="13"/>
  <c r="E107" i="13" s="1"/>
  <c r="F61" i="12"/>
  <c r="E52" i="13"/>
  <c r="E109" i="13" s="1"/>
  <c r="F63" i="12"/>
  <c r="G153" i="14"/>
  <c r="H239" i="17"/>
  <c r="H175" i="17"/>
  <c r="E121" i="13"/>
  <c r="G179" i="13" s="1"/>
  <c r="G234" i="13"/>
  <c r="C127" i="10"/>
  <c r="C36" i="10"/>
  <c r="C172" i="10"/>
  <c r="C157" i="10"/>
  <c r="C142" i="10"/>
  <c r="D39" i="18"/>
  <c r="D61" i="13"/>
  <c r="F30" i="13"/>
  <c r="F87" i="13" s="1"/>
  <c r="G61" i="11"/>
  <c r="F247" i="17"/>
  <c r="F184" i="17"/>
  <c r="H12" i="17"/>
  <c r="H65" i="17" s="1"/>
  <c r="H96" i="11"/>
  <c r="I12" i="17" s="1"/>
  <c r="I65" i="17" s="1"/>
  <c r="F21" i="14"/>
  <c r="F45" i="14" s="1"/>
  <c r="G76" i="11"/>
  <c r="H228" i="17"/>
  <c r="H161" i="17"/>
  <c r="H201" i="17"/>
  <c r="H134" i="17"/>
  <c r="F249" i="13"/>
  <c r="D136" i="13"/>
  <c r="F194" i="13" s="1"/>
  <c r="E92" i="13"/>
  <c r="E68" i="13"/>
  <c r="G206" i="17"/>
  <c r="G139" i="17"/>
  <c r="G217" i="17"/>
  <c r="G150" i="17"/>
  <c r="F36" i="18"/>
  <c r="F64" i="18" s="1"/>
  <c r="G97" i="12"/>
  <c r="F43" i="13"/>
  <c r="F100" i="13" s="1"/>
  <c r="G54" i="12"/>
  <c r="F39" i="13"/>
  <c r="F96" i="13" s="1"/>
  <c r="G50" i="12"/>
  <c r="F14" i="13"/>
  <c r="F71" i="13" s="1"/>
  <c r="G45" i="11"/>
  <c r="F15" i="14"/>
  <c r="F39" i="14" s="1"/>
  <c r="G70" i="11"/>
  <c r="H34" i="17"/>
  <c r="H87" i="17" s="1"/>
  <c r="H103" i="12"/>
  <c r="I34" i="17" s="1"/>
  <c r="I87" i="17" s="1"/>
  <c r="E24" i="14"/>
  <c r="E48" i="14" s="1"/>
  <c r="F79" i="11"/>
  <c r="C42" i="18"/>
  <c r="C12" i="18"/>
  <c r="D158" i="13"/>
  <c r="F217" i="13" s="1"/>
  <c r="F271" i="13"/>
  <c r="E126" i="13"/>
  <c r="G184" i="13" s="1"/>
  <c r="G239" i="13"/>
  <c r="H198" i="17"/>
  <c r="H131" i="17"/>
  <c r="E178" i="13"/>
  <c r="E284" i="13"/>
  <c r="E285" i="13"/>
  <c r="H204" i="17"/>
  <c r="H137" i="17"/>
  <c r="F250" i="13"/>
  <c r="D137" i="13"/>
  <c r="F195" i="13" s="1"/>
  <c r="F15" i="13"/>
  <c r="F72" i="13" s="1"/>
  <c r="G46" i="11"/>
  <c r="E22" i="18"/>
  <c r="E53" i="18" s="1"/>
  <c r="F83" i="12"/>
  <c r="G50" i="17"/>
  <c r="G103" i="17" s="1"/>
  <c r="G119" i="12"/>
  <c r="H11" i="17"/>
  <c r="H64" i="17" s="1"/>
  <c r="H95" i="11"/>
  <c r="I11" i="17" s="1"/>
  <c r="I64" i="17" s="1"/>
  <c r="F19" i="13"/>
  <c r="F76" i="13" s="1"/>
  <c r="G50" i="11"/>
  <c r="H51" i="4"/>
  <c r="G67" i="4"/>
  <c r="F19" i="14"/>
  <c r="F43" i="14" s="1"/>
  <c r="G74" i="11"/>
  <c r="F38" i="13"/>
  <c r="F95" i="13" s="1"/>
  <c r="G49" i="12"/>
  <c r="F42" i="13"/>
  <c r="F99" i="13" s="1"/>
  <c r="G53" i="12"/>
  <c r="G27" i="17"/>
  <c r="G80" i="17" s="1"/>
  <c r="G111" i="11"/>
  <c r="G213" i="17"/>
  <c r="G146" i="17"/>
  <c r="H202" i="17"/>
  <c r="H135" i="17"/>
  <c r="E26" i="13"/>
  <c r="E83" i="13" s="1"/>
  <c r="F57" i="11"/>
  <c r="E48" i="13"/>
  <c r="E105" i="13" s="1"/>
  <c r="F59" i="12"/>
  <c r="E125" i="13"/>
  <c r="G183" i="13" s="1"/>
  <c r="G238" i="13"/>
  <c r="G19" i="17"/>
  <c r="G72" i="17" s="1"/>
  <c r="G103" i="11"/>
  <c r="E31" i="14"/>
  <c r="E55" i="14" s="1"/>
  <c r="F86" i="11"/>
  <c r="H36" i="17"/>
  <c r="H89" i="17" s="1"/>
  <c r="H105" i="12"/>
  <c r="I36" i="17" s="1"/>
  <c r="I89" i="17" s="1"/>
  <c r="H9" i="17"/>
  <c r="H62" i="17" s="1"/>
  <c r="H93" i="11"/>
  <c r="I9" i="17" s="1"/>
  <c r="I62" i="17" s="1"/>
  <c r="F242" i="13"/>
  <c r="D129" i="13"/>
  <c r="F187" i="13" s="1"/>
  <c r="E25" i="13"/>
  <c r="E82" i="13" s="1"/>
  <c r="F56" i="11"/>
  <c r="E29" i="14"/>
  <c r="E53" i="14" s="1"/>
  <c r="F84" i="11"/>
  <c r="G51" i="17"/>
  <c r="G104" i="17" s="1"/>
  <c r="H172" i="17" s="1"/>
  <c r="G120" i="12"/>
  <c r="E47" i="13"/>
  <c r="E104" i="13" s="1"/>
  <c r="F58" i="12"/>
  <c r="G155" i="14"/>
  <c r="E71" i="14"/>
  <c r="E70" i="14"/>
  <c r="G142" i="14" s="1"/>
  <c r="E27" i="18"/>
  <c r="E58" i="18" s="1"/>
  <c r="F88" i="12"/>
  <c r="G23" i="17"/>
  <c r="G76" i="17" s="1"/>
  <c r="G107" i="11"/>
  <c r="F18" i="14"/>
  <c r="F42" i="14" s="1"/>
  <c r="G73" i="11"/>
  <c r="D159" i="13"/>
  <c r="F218" i="13" s="1"/>
  <c r="F272" i="13"/>
  <c r="D161" i="13"/>
  <c r="F220" i="13" s="1"/>
  <c r="F274" i="13"/>
  <c r="F154" i="18"/>
  <c r="F159" i="18" s="1"/>
  <c r="F169" i="18"/>
  <c r="F168" i="18"/>
  <c r="H54" i="17"/>
  <c r="H107" i="17" s="1"/>
  <c r="H123" i="12"/>
  <c r="I54" i="17" s="1"/>
  <c r="I107" i="17" s="1"/>
  <c r="F12" i="13"/>
  <c r="F69" i="13" s="1"/>
  <c r="F15" i="18"/>
  <c r="F46" i="18" s="1"/>
  <c r="G76" i="12"/>
  <c r="H241" i="17"/>
  <c r="H177" i="17"/>
  <c r="F115" i="17"/>
  <c r="F118" i="17"/>
  <c r="M52" i="4"/>
  <c r="E158" i="14" l="1"/>
  <c r="E157" i="14"/>
  <c r="E95" i="14"/>
  <c r="G139" i="14" s="1"/>
  <c r="E96" i="14"/>
  <c r="G144" i="14" s="1"/>
  <c r="B22" i="7"/>
  <c r="G247" i="17"/>
  <c r="G182" i="17"/>
  <c r="E18" i="6"/>
  <c r="F9" i="6" s="1"/>
  <c r="E260" i="17"/>
  <c r="E262" i="17" s="1"/>
  <c r="E16" i="6"/>
  <c r="F7" i="6" s="1"/>
  <c r="E47" i="6"/>
  <c r="G114" i="17"/>
  <c r="H245" i="17" s="1"/>
  <c r="G15" i="6"/>
  <c r="H6" i="6" s="1"/>
  <c r="D12" i="14"/>
  <c r="D35" i="14"/>
  <c r="F191" i="17"/>
  <c r="G34" i="6" s="1"/>
  <c r="F34" i="6"/>
  <c r="E229" i="13"/>
  <c r="C8" i="7" s="1"/>
  <c r="E17" i="6"/>
  <c r="F8" i="6" s="1"/>
  <c r="P56" i="4"/>
  <c r="P58" i="4" s="1"/>
  <c r="Q55" i="4" s="1"/>
  <c r="G250" i="17"/>
  <c r="G187" i="17"/>
  <c r="F27" i="18"/>
  <c r="F58" i="18" s="1"/>
  <c r="G88" i="12"/>
  <c r="F48" i="13"/>
  <c r="F105" i="13" s="1"/>
  <c r="G59" i="12"/>
  <c r="N49" i="4"/>
  <c r="M68" i="4"/>
  <c r="G246" i="17"/>
  <c r="G183" i="17"/>
  <c r="I239" i="17"/>
  <c r="I175" i="17"/>
  <c r="H23" i="17"/>
  <c r="H76" i="17" s="1"/>
  <c r="H107" i="11"/>
  <c r="I23" i="17" s="1"/>
  <c r="I76" i="17" s="1"/>
  <c r="H51" i="17"/>
  <c r="H104" i="17" s="1"/>
  <c r="I172" i="17" s="1"/>
  <c r="H120" i="12"/>
  <c r="I51" i="17" s="1"/>
  <c r="I104" i="17" s="1"/>
  <c r="F25" i="13"/>
  <c r="F82" i="13" s="1"/>
  <c r="G56" i="11"/>
  <c r="J197" i="17"/>
  <c r="J130" i="17"/>
  <c r="F31" i="14"/>
  <c r="F55" i="14" s="1"/>
  <c r="G86" i="11"/>
  <c r="F26" i="13"/>
  <c r="F83" i="13" s="1"/>
  <c r="G57" i="11"/>
  <c r="G42" i="13"/>
  <c r="G99" i="13" s="1"/>
  <c r="H53" i="12"/>
  <c r="H42" i="13" s="1"/>
  <c r="H99" i="13" s="1"/>
  <c r="G19" i="14"/>
  <c r="G43" i="14" s="1"/>
  <c r="H74" i="11"/>
  <c r="H19" i="14" s="1"/>
  <c r="H43" i="14" s="1"/>
  <c r="G19" i="13"/>
  <c r="G76" i="13" s="1"/>
  <c r="H50" i="11"/>
  <c r="H19" i="13" s="1"/>
  <c r="H76" i="13" s="1"/>
  <c r="H50" i="17"/>
  <c r="H103" i="17" s="1"/>
  <c r="H119" i="12"/>
  <c r="I50" i="17" s="1"/>
  <c r="I103" i="17" s="1"/>
  <c r="G15" i="13"/>
  <c r="G72" i="13" s="1"/>
  <c r="H46" i="11"/>
  <c r="H15" i="13" s="1"/>
  <c r="H72" i="13" s="1"/>
  <c r="I222" i="17"/>
  <c r="I155" i="17"/>
  <c r="F123" i="13"/>
  <c r="H181" i="13" s="1"/>
  <c r="H236" i="13"/>
  <c r="F152" i="13"/>
  <c r="H211" i="13" s="1"/>
  <c r="H265" i="13"/>
  <c r="E120" i="13"/>
  <c r="G233" i="13"/>
  <c r="I200" i="17"/>
  <c r="I133" i="17"/>
  <c r="F139" i="13"/>
  <c r="H197" i="13" s="1"/>
  <c r="H252" i="13"/>
  <c r="D42" i="18"/>
  <c r="D12" i="18"/>
  <c r="F50" i="13"/>
  <c r="F107" i="13" s="1"/>
  <c r="G61" i="12"/>
  <c r="H233" i="17"/>
  <c r="H166" i="17"/>
  <c r="G34" i="18"/>
  <c r="G62" i="18" s="1"/>
  <c r="H95" i="12"/>
  <c r="H34" i="18" s="1"/>
  <c r="H62" i="18" s="1"/>
  <c r="F23" i="13"/>
  <c r="F80" i="13" s="1"/>
  <c r="G54" i="11"/>
  <c r="H53" i="17"/>
  <c r="H106" i="17" s="1"/>
  <c r="I174" i="17" s="1"/>
  <c r="H122" i="12"/>
  <c r="I53" i="17" s="1"/>
  <c r="I106" i="17" s="1"/>
  <c r="F22" i="14"/>
  <c r="F46" i="14" s="1"/>
  <c r="H47" i="17"/>
  <c r="H100" i="17" s="1"/>
  <c r="H116" i="12"/>
  <c r="I47" i="17" s="1"/>
  <c r="I100" i="17" s="1"/>
  <c r="F23" i="18"/>
  <c r="F54" i="18" s="1"/>
  <c r="G84" i="12"/>
  <c r="F28" i="13"/>
  <c r="F85" i="13" s="1"/>
  <c r="G59" i="11"/>
  <c r="F178" i="13"/>
  <c r="F284" i="13"/>
  <c r="F285" i="13"/>
  <c r="F45" i="13"/>
  <c r="F102" i="13" s="1"/>
  <c r="G56" i="12"/>
  <c r="H43" i="17"/>
  <c r="H96" i="17" s="1"/>
  <c r="H112" i="12"/>
  <c r="I43" i="17" s="1"/>
  <c r="I96" i="17" s="1"/>
  <c r="F26" i="18"/>
  <c r="F57" i="18" s="1"/>
  <c r="G87" i="12"/>
  <c r="G17" i="14"/>
  <c r="G41" i="14" s="1"/>
  <c r="H72" i="11"/>
  <c r="H17" i="14" s="1"/>
  <c r="H41" i="14" s="1"/>
  <c r="G37" i="13"/>
  <c r="G94" i="13" s="1"/>
  <c r="H48" i="12"/>
  <c r="H37" i="13" s="1"/>
  <c r="H94" i="13" s="1"/>
  <c r="G58" i="13"/>
  <c r="G115" i="13" s="1"/>
  <c r="H69" i="12"/>
  <c r="H58" i="13" s="1"/>
  <c r="H115" i="13" s="1"/>
  <c r="H230" i="17"/>
  <c r="H163" i="17"/>
  <c r="H210" i="17"/>
  <c r="H143" i="17"/>
  <c r="E130" i="13"/>
  <c r="G188" i="13" s="1"/>
  <c r="G243" i="13"/>
  <c r="D143" i="10"/>
  <c r="D128" i="10"/>
  <c r="D173" i="10"/>
  <c r="D158" i="10"/>
  <c r="D37" i="10"/>
  <c r="I223" i="17"/>
  <c r="I156" i="17"/>
  <c r="F122" i="13"/>
  <c r="H180" i="13" s="1"/>
  <c r="H235" i="13"/>
  <c r="E160" i="13"/>
  <c r="G219" i="13" s="1"/>
  <c r="G273" i="13"/>
  <c r="F150" i="13"/>
  <c r="H209" i="13" s="1"/>
  <c r="H263" i="13"/>
  <c r="H232" i="17"/>
  <c r="H165" i="17"/>
  <c r="I226" i="17"/>
  <c r="I159" i="17"/>
  <c r="E155" i="13"/>
  <c r="G214" i="13" s="1"/>
  <c r="G268" i="13"/>
  <c r="G152" i="14"/>
  <c r="H73" i="17"/>
  <c r="H104" i="11"/>
  <c r="I73" i="17" s="1"/>
  <c r="F28" i="18"/>
  <c r="F59" i="18" s="1"/>
  <c r="G89" i="12"/>
  <c r="G14" i="18"/>
  <c r="H75" i="12"/>
  <c r="H14" i="18" s="1"/>
  <c r="F70" i="14"/>
  <c r="H142" i="14" s="1"/>
  <c r="H155" i="14"/>
  <c r="F71" i="14"/>
  <c r="H278" i="13"/>
  <c r="F168" i="13"/>
  <c r="H227" i="13" s="1"/>
  <c r="E153" i="13"/>
  <c r="G212" i="13" s="1"/>
  <c r="G266" i="13"/>
  <c r="F31" i="18"/>
  <c r="G92" i="12"/>
  <c r="G31" i="18" s="1"/>
  <c r="G16" i="13"/>
  <c r="G73" i="13" s="1"/>
  <c r="H47" i="11"/>
  <c r="H16" i="13" s="1"/>
  <c r="H73" i="13" s="1"/>
  <c r="G16" i="18"/>
  <c r="G47" i="18" s="1"/>
  <c r="H77" i="12"/>
  <c r="H16" i="18" s="1"/>
  <c r="H47" i="18" s="1"/>
  <c r="F26" i="14"/>
  <c r="F50" i="14" s="1"/>
  <c r="G81" i="11"/>
  <c r="G18" i="18"/>
  <c r="G49" i="18" s="1"/>
  <c r="H79" i="12"/>
  <c r="H18" i="18" s="1"/>
  <c r="H49" i="18" s="1"/>
  <c r="I204" i="17"/>
  <c r="I137" i="17"/>
  <c r="E158" i="13"/>
  <c r="G217" i="13" s="1"/>
  <c r="G271" i="13"/>
  <c r="H18" i="17"/>
  <c r="H71" i="17" s="1"/>
  <c r="H102" i="11"/>
  <c r="I18" i="17" s="1"/>
  <c r="I71" i="17" s="1"/>
  <c r="G35" i="13"/>
  <c r="H46" i="12"/>
  <c r="H35" i="13" s="1"/>
  <c r="F27" i="13"/>
  <c r="F84" i="13" s="1"/>
  <c r="G58" i="11"/>
  <c r="D142" i="10"/>
  <c r="D127" i="10"/>
  <c r="D172" i="10"/>
  <c r="D157" i="10"/>
  <c r="D36" i="10"/>
  <c r="I228" i="17"/>
  <c r="I161" i="17"/>
  <c r="E138" i="13"/>
  <c r="G196" i="13" s="1"/>
  <c r="G251" i="13"/>
  <c r="G253" i="17"/>
  <c r="G15" i="18"/>
  <c r="G46" i="18" s="1"/>
  <c r="H76" i="12"/>
  <c r="H15" i="18" s="1"/>
  <c r="H46" i="18" s="1"/>
  <c r="H154" i="14"/>
  <c r="F78" i="14"/>
  <c r="F79" i="14"/>
  <c r="E156" i="13"/>
  <c r="G215" i="13" s="1"/>
  <c r="G269" i="13"/>
  <c r="I224" i="17"/>
  <c r="I157" i="17"/>
  <c r="H207" i="17"/>
  <c r="H140" i="17"/>
  <c r="E157" i="13"/>
  <c r="G216" i="13" s="1"/>
  <c r="G270" i="13"/>
  <c r="H215" i="17"/>
  <c r="H148" i="17"/>
  <c r="F147" i="13"/>
  <c r="H206" i="13" s="1"/>
  <c r="H260" i="13"/>
  <c r="H67" i="4"/>
  <c r="I51" i="4"/>
  <c r="I67" i="4" s="1"/>
  <c r="I199" i="17"/>
  <c r="I132" i="17"/>
  <c r="E165" i="18"/>
  <c r="E166" i="18"/>
  <c r="J222" i="17"/>
  <c r="J155" i="17"/>
  <c r="G14" i="13"/>
  <c r="G71" i="13" s="1"/>
  <c r="H45" i="11"/>
  <c r="H14" i="13" s="1"/>
  <c r="H71" i="13" s="1"/>
  <c r="G43" i="13"/>
  <c r="G100" i="13" s="1"/>
  <c r="H54" i="12"/>
  <c r="H43" i="13" s="1"/>
  <c r="H100" i="13" s="1"/>
  <c r="J200" i="17"/>
  <c r="J133" i="17"/>
  <c r="G30" i="13"/>
  <c r="G87" i="13" s="1"/>
  <c r="H61" i="11"/>
  <c r="H30" i="13" s="1"/>
  <c r="H87" i="13" s="1"/>
  <c r="E161" i="13"/>
  <c r="G220" i="13" s="1"/>
  <c r="G274" i="13"/>
  <c r="H45" i="17"/>
  <c r="H98" i="17" s="1"/>
  <c r="H114" i="12"/>
  <c r="I45" i="17" s="1"/>
  <c r="I98" i="17" s="1"/>
  <c r="H209" i="17"/>
  <c r="H142" i="17"/>
  <c r="F145" i="13"/>
  <c r="H204" i="13" s="1"/>
  <c r="H258" i="13"/>
  <c r="H212" i="17"/>
  <c r="H145" i="17"/>
  <c r="F68" i="4"/>
  <c r="G49" i="4"/>
  <c r="I242" i="17"/>
  <c r="I178" i="17"/>
  <c r="H237" i="17"/>
  <c r="H170" i="17"/>
  <c r="I240" i="17"/>
  <c r="I176" i="17"/>
  <c r="E140" i="13"/>
  <c r="G198" i="13" s="1"/>
  <c r="G253" i="13"/>
  <c r="H216" i="17"/>
  <c r="H149" i="17"/>
  <c r="I221" i="17"/>
  <c r="I154" i="17"/>
  <c r="D65" i="13"/>
  <c r="F200" i="13" s="1"/>
  <c r="D10" i="13"/>
  <c r="H42" i="17"/>
  <c r="H95" i="17" s="1"/>
  <c r="H111" i="12"/>
  <c r="I42" i="17" s="1"/>
  <c r="I95" i="17" s="1"/>
  <c r="H22" i="17"/>
  <c r="H75" i="17" s="1"/>
  <c r="H106" i="11"/>
  <c r="I22" i="17" s="1"/>
  <c r="I75" i="17" s="1"/>
  <c r="F21" i="13"/>
  <c r="F78" i="13" s="1"/>
  <c r="G11" i="5"/>
  <c r="C12" i="5" s="1"/>
  <c r="J223" i="17"/>
  <c r="J156" i="17"/>
  <c r="G13" i="13"/>
  <c r="G70" i="13" s="1"/>
  <c r="H44" i="11"/>
  <c r="H13" i="13" s="1"/>
  <c r="H70" i="13" s="1"/>
  <c r="F25" i="18"/>
  <c r="F56" i="18" s="1"/>
  <c r="G86" i="12"/>
  <c r="G37" i="18"/>
  <c r="G65" i="18" s="1"/>
  <c r="H98" i="12"/>
  <c r="H37" i="18" s="1"/>
  <c r="H65" i="18" s="1"/>
  <c r="F51" i="13"/>
  <c r="F108" i="13" s="1"/>
  <c r="G62" i="12"/>
  <c r="G35" i="18"/>
  <c r="G63" i="18" s="1"/>
  <c r="H96" i="12"/>
  <c r="H35" i="18" s="1"/>
  <c r="H63" i="18" s="1"/>
  <c r="G41" i="13"/>
  <c r="G98" i="13" s="1"/>
  <c r="H52" i="12"/>
  <c r="H41" i="13" s="1"/>
  <c r="H98" i="13" s="1"/>
  <c r="H44" i="17"/>
  <c r="H97" i="17" s="1"/>
  <c r="H113" i="12"/>
  <c r="I44" i="17" s="1"/>
  <c r="I97" i="17" s="1"/>
  <c r="J226" i="17"/>
  <c r="J159" i="17"/>
  <c r="F46" i="13"/>
  <c r="F103" i="13" s="1"/>
  <c r="G57" i="12"/>
  <c r="F47" i="14"/>
  <c r="I229" i="17"/>
  <c r="I162" i="17"/>
  <c r="H276" i="13"/>
  <c r="F166" i="13"/>
  <c r="H225" i="13" s="1"/>
  <c r="I132" i="10"/>
  <c r="I177" i="10"/>
  <c r="I162" i="10"/>
  <c r="I45" i="10"/>
  <c r="I23" i="9"/>
  <c r="I147" i="10"/>
  <c r="P44" i="4"/>
  <c r="P45" i="4" s="1"/>
  <c r="I241" i="17"/>
  <c r="I177" i="17"/>
  <c r="G16" i="14"/>
  <c r="G40" i="14" s="1"/>
  <c r="H71" i="11"/>
  <c r="H16" i="14" s="1"/>
  <c r="H40" i="14" s="1"/>
  <c r="G59" i="13"/>
  <c r="G116" i="13" s="1"/>
  <c r="H70" i="12"/>
  <c r="H59" i="13" s="1"/>
  <c r="H116" i="13" s="1"/>
  <c r="F44" i="13"/>
  <c r="F101" i="13" s="1"/>
  <c r="G55" i="12"/>
  <c r="I202" i="17"/>
  <c r="I135" i="17"/>
  <c r="H213" i="17"/>
  <c r="H146" i="17"/>
  <c r="E282" i="13"/>
  <c r="E283" i="13"/>
  <c r="J204" i="17"/>
  <c r="J137" i="17"/>
  <c r="F28" i="14"/>
  <c r="F52" i="14" s="1"/>
  <c r="G83" i="11"/>
  <c r="F24" i="18"/>
  <c r="F55" i="18" s="1"/>
  <c r="G85" i="12"/>
  <c r="F49" i="13"/>
  <c r="F106" i="13" s="1"/>
  <c r="G60" i="12"/>
  <c r="H217" i="17"/>
  <c r="H150" i="17"/>
  <c r="F68" i="13"/>
  <c r="I201" i="17"/>
  <c r="I134" i="17"/>
  <c r="J228" i="17"/>
  <c r="J161" i="17"/>
  <c r="F29" i="13"/>
  <c r="F86" i="13" s="1"/>
  <c r="G60" i="11"/>
  <c r="F259" i="17"/>
  <c r="E32" i="14"/>
  <c r="E12" i="14" s="1"/>
  <c r="E33" i="13"/>
  <c r="G118" i="17"/>
  <c r="O40" i="4"/>
  <c r="P37" i="4" s="1"/>
  <c r="E39" i="18"/>
  <c r="F156" i="14"/>
  <c r="F121" i="13"/>
  <c r="H179" i="13" s="1"/>
  <c r="H234" i="13"/>
  <c r="J224" i="17"/>
  <c r="J157" i="17"/>
  <c r="H19" i="17"/>
  <c r="H72" i="17" s="1"/>
  <c r="H103" i="11"/>
  <c r="I19" i="17" s="1"/>
  <c r="I72" i="17" s="1"/>
  <c r="H27" i="17"/>
  <c r="H80" i="17" s="1"/>
  <c r="H111" i="11"/>
  <c r="I27" i="17" s="1"/>
  <c r="I80" i="17" s="1"/>
  <c r="G38" i="13"/>
  <c r="G95" i="13" s="1"/>
  <c r="H49" i="12"/>
  <c r="H38" i="13" s="1"/>
  <c r="H95" i="13" s="1"/>
  <c r="J199" i="17"/>
  <c r="J132" i="17"/>
  <c r="F22" i="18"/>
  <c r="F53" i="18" s="1"/>
  <c r="G83" i="12"/>
  <c r="F148" i="13"/>
  <c r="H207" i="13" s="1"/>
  <c r="H261" i="13"/>
  <c r="E144" i="13"/>
  <c r="G203" i="13" s="1"/>
  <c r="G257" i="13"/>
  <c r="F52" i="13"/>
  <c r="F109" i="13" s="1"/>
  <c r="G63" i="12"/>
  <c r="G141" i="14"/>
  <c r="E129" i="13"/>
  <c r="G187" i="13" s="1"/>
  <c r="G242" i="13"/>
  <c r="H21" i="17"/>
  <c r="H74" i="17" s="1"/>
  <c r="H105" i="11"/>
  <c r="I21" i="17" s="1"/>
  <c r="I74" i="17" s="1"/>
  <c r="G36" i="13"/>
  <c r="G93" i="13" s="1"/>
  <c r="H47" i="12"/>
  <c r="H36" i="13" s="1"/>
  <c r="H93" i="13" s="1"/>
  <c r="F30" i="14"/>
  <c r="F54" i="14" s="1"/>
  <c r="G85" i="11"/>
  <c r="H24" i="17"/>
  <c r="H77" i="17" s="1"/>
  <c r="H108" i="11"/>
  <c r="I24" i="17" s="1"/>
  <c r="I77" i="17" s="1"/>
  <c r="G17" i="18"/>
  <c r="G48" i="18" s="1"/>
  <c r="H78" i="12"/>
  <c r="H17" i="18" s="1"/>
  <c r="H48" i="18" s="1"/>
  <c r="B9" i="7"/>
  <c r="E37" i="6"/>
  <c r="J242" i="17"/>
  <c r="J178" i="17"/>
  <c r="G21" i="18"/>
  <c r="G52" i="18" s="1"/>
  <c r="H82" i="12"/>
  <c r="H21" i="18" s="1"/>
  <c r="H52" i="18" s="1"/>
  <c r="H49" i="17"/>
  <c r="H102" i="17" s="1"/>
  <c r="H118" i="12"/>
  <c r="I49" i="17" s="1"/>
  <c r="I102" i="17" s="1"/>
  <c r="F29" i="18"/>
  <c r="F60" i="18" s="1"/>
  <c r="G90" i="12"/>
  <c r="J240" i="17"/>
  <c r="J176" i="17"/>
  <c r="F27" i="14"/>
  <c r="F51" i="14" s="1"/>
  <c r="G82" i="11"/>
  <c r="G19" i="18"/>
  <c r="G50" i="18" s="1"/>
  <c r="H80" i="12"/>
  <c r="H19" i="18" s="1"/>
  <c r="H50" i="18" s="1"/>
  <c r="F31" i="13"/>
  <c r="F88" i="13" s="1"/>
  <c r="G62" i="11"/>
  <c r="H28" i="17"/>
  <c r="H81" i="17" s="1"/>
  <c r="H112" i="11"/>
  <c r="I28" i="17" s="1"/>
  <c r="I81" i="17" s="1"/>
  <c r="J221" i="17"/>
  <c r="J154" i="17"/>
  <c r="I203" i="17"/>
  <c r="I136" i="17"/>
  <c r="I227" i="17"/>
  <c r="I160" i="17"/>
  <c r="F149" i="13"/>
  <c r="H208" i="13" s="1"/>
  <c r="H262" i="13"/>
  <c r="G154" i="18"/>
  <c r="G159" i="18" s="1"/>
  <c r="G169" i="18"/>
  <c r="G168" i="18"/>
  <c r="I225" i="17"/>
  <c r="I158" i="17"/>
  <c r="H234" i="17"/>
  <c r="H167" i="17"/>
  <c r="F127" i="13"/>
  <c r="H185" i="13" s="1"/>
  <c r="H240" i="13"/>
  <c r="F165" i="13"/>
  <c r="H224" i="13" s="1"/>
  <c r="H275" i="13"/>
  <c r="H236" i="17"/>
  <c r="H169" i="17"/>
  <c r="E131" i="13"/>
  <c r="G189" i="13" s="1"/>
  <c r="G244" i="13"/>
  <c r="J229" i="17"/>
  <c r="J162" i="17"/>
  <c r="G57" i="13"/>
  <c r="G114" i="13" s="1"/>
  <c r="H68" i="12"/>
  <c r="H57" i="13" s="1"/>
  <c r="H114" i="13" s="1"/>
  <c r="B8" i="7"/>
  <c r="E36" i="6"/>
  <c r="J241" i="17"/>
  <c r="J177" i="17"/>
  <c r="E133" i="13"/>
  <c r="G191" i="13" s="1"/>
  <c r="G246" i="13"/>
  <c r="F32" i="18"/>
  <c r="G93" i="12"/>
  <c r="G32" i="18" s="1"/>
  <c r="J202" i="17"/>
  <c r="J135" i="17"/>
  <c r="H25" i="17"/>
  <c r="H78" i="17" s="1"/>
  <c r="H109" i="11"/>
  <c r="I25" i="17" s="1"/>
  <c r="I78" i="17" s="1"/>
  <c r="F33" i="18"/>
  <c r="G94" i="12"/>
  <c r="G33" i="18" s="1"/>
  <c r="I198" i="17"/>
  <c r="I131" i="17"/>
  <c r="F126" i="13"/>
  <c r="H184" i="13" s="1"/>
  <c r="H239" i="13"/>
  <c r="F37" i="14"/>
  <c r="H29" i="17"/>
  <c r="H82" i="17" s="1"/>
  <c r="H113" i="11"/>
  <c r="I29" i="17" s="1"/>
  <c r="I82" i="17" s="1"/>
  <c r="G11" i="13"/>
  <c r="H42" i="11"/>
  <c r="H11" i="13" s="1"/>
  <c r="G20" i="14"/>
  <c r="G44" i="14" s="1"/>
  <c r="H75" i="11"/>
  <c r="H20" i="14" s="1"/>
  <c r="H44" i="14" s="1"/>
  <c r="J201" i="17"/>
  <c r="J134" i="17"/>
  <c r="G116" i="17"/>
  <c r="N64" i="4"/>
  <c r="O61" i="4" s="1"/>
  <c r="G254" i="17"/>
  <c r="J239" i="17"/>
  <c r="J175" i="17"/>
  <c r="H153" i="14"/>
  <c r="G18" i="14"/>
  <c r="G42" i="14" s="1"/>
  <c r="H73" i="11"/>
  <c r="H18" i="14" s="1"/>
  <c r="H42" i="14" s="1"/>
  <c r="F47" i="13"/>
  <c r="F104" i="13" s="1"/>
  <c r="G58" i="12"/>
  <c r="F29" i="14"/>
  <c r="F53" i="14" s="1"/>
  <c r="G84" i="11"/>
  <c r="G12" i="13"/>
  <c r="G69" i="13" s="1"/>
  <c r="H12" i="13"/>
  <c r="H69" i="13" s="1"/>
  <c r="G39" i="6"/>
  <c r="D13" i="7"/>
  <c r="H211" i="17"/>
  <c r="H144" i="17"/>
  <c r="E134" i="13"/>
  <c r="G192" i="13" s="1"/>
  <c r="G247" i="13"/>
  <c r="I197" i="17"/>
  <c r="I130" i="17"/>
  <c r="E135" i="13"/>
  <c r="G193" i="13" s="1"/>
  <c r="G248" i="13"/>
  <c r="F151" i="13"/>
  <c r="H210" i="13" s="1"/>
  <c r="H264" i="13"/>
  <c r="F128" i="13"/>
  <c r="H186" i="13" s="1"/>
  <c r="H241" i="13"/>
  <c r="H238" i="17"/>
  <c r="H171" i="17"/>
  <c r="F124" i="13"/>
  <c r="H182" i="13" s="1"/>
  <c r="H237" i="13"/>
  <c r="F24" i="14"/>
  <c r="F48" i="14" s="1"/>
  <c r="G79" i="11"/>
  <c r="G15" i="14"/>
  <c r="G39" i="14" s="1"/>
  <c r="H70" i="11"/>
  <c r="H15" i="14" s="1"/>
  <c r="H39" i="14" s="1"/>
  <c r="G39" i="13"/>
  <c r="G96" i="13" s="1"/>
  <c r="H50" i="12"/>
  <c r="H39" i="13" s="1"/>
  <c r="H96" i="13" s="1"/>
  <c r="G36" i="18"/>
  <c r="G64" i="18" s="1"/>
  <c r="H97" i="12"/>
  <c r="H36" i="18" s="1"/>
  <c r="H64" i="18" s="1"/>
  <c r="G21" i="14"/>
  <c r="G45" i="14" s="1"/>
  <c r="H76" i="11"/>
  <c r="H21" i="14" s="1"/>
  <c r="H45" i="14" s="1"/>
  <c r="E159" i="13"/>
  <c r="G218" i="13" s="1"/>
  <c r="G272" i="13"/>
  <c r="F20" i="13"/>
  <c r="F77" i="13" s="1"/>
  <c r="G51" i="11"/>
  <c r="H167" i="18"/>
  <c r="F125" i="18"/>
  <c r="F142" i="18" s="1"/>
  <c r="H155" i="18" s="1"/>
  <c r="F124" i="18"/>
  <c r="F141" i="18" s="1"/>
  <c r="H164" i="18"/>
  <c r="H163" i="18"/>
  <c r="F126" i="18"/>
  <c r="F143" i="18" s="1"/>
  <c r="H156" i="18" s="1"/>
  <c r="E132" i="13"/>
  <c r="G190" i="13" s="1"/>
  <c r="G245" i="13"/>
  <c r="H235" i="17"/>
  <c r="H168" i="17"/>
  <c r="E137" i="13"/>
  <c r="G195" i="13" s="1"/>
  <c r="G250" i="13"/>
  <c r="E154" i="13"/>
  <c r="G213" i="13" s="1"/>
  <c r="G267" i="13"/>
  <c r="H231" i="17"/>
  <c r="H164" i="17"/>
  <c r="F146" i="13"/>
  <c r="H205" i="13" s="1"/>
  <c r="H259" i="13"/>
  <c r="F167" i="13"/>
  <c r="H226" i="13" s="1"/>
  <c r="H277" i="13"/>
  <c r="G20" i="18"/>
  <c r="G51" i="18" s="1"/>
  <c r="H81" i="12"/>
  <c r="H20" i="18" s="1"/>
  <c r="H51" i="18" s="1"/>
  <c r="J203" i="17"/>
  <c r="J136" i="17"/>
  <c r="H52" i="17"/>
  <c r="H105" i="17" s="1"/>
  <c r="I173" i="17" s="1"/>
  <c r="H121" i="12"/>
  <c r="I52" i="17" s="1"/>
  <c r="I105" i="17" s="1"/>
  <c r="J227" i="17"/>
  <c r="J160" i="17"/>
  <c r="G40" i="13"/>
  <c r="G97" i="13" s="1"/>
  <c r="H51" i="12"/>
  <c r="H40" i="13" s="1"/>
  <c r="H97" i="13" s="1"/>
  <c r="J225" i="17"/>
  <c r="J158" i="17"/>
  <c r="H46" i="17"/>
  <c r="H99" i="17" s="1"/>
  <c r="H115" i="12"/>
  <c r="I46" i="17" s="1"/>
  <c r="I99" i="17" s="1"/>
  <c r="G18" i="13"/>
  <c r="G75" i="13" s="1"/>
  <c r="H49" i="11"/>
  <c r="H18" i="13" s="1"/>
  <c r="H75" i="13" s="1"/>
  <c r="G56" i="13"/>
  <c r="G113" i="13" s="1"/>
  <c r="H67" i="12"/>
  <c r="H56" i="13" s="1"/>
  <c r="H113" i="13" s="1"/>
  <c r="H48" i="17"/>
  <c r="H101" i="17" s="1"/>
  <c r="H117" i="12"/>
  <c r="I48" i="17" s="1"/>
  <c r="I101" i="17" s="1"/>
  <c r="F22" i="13"/>
  <c r="F79" i="13" s="1"/>
  <c r="G53" i="11"/>
  <c r="F25" i="14"/>
  <c r="F49" i="14" s="1"/>
  <c r="G80" i="11"/>
  <c r="H208" i="17"/>
  <c r="H141" i="17"/>
  <c r="F45" i="18"/>
  <c r="G251" i="17"/>
  <c r="G188" i="17"/>
  <c r="M67" i="4"/>
  <c r="F24" i="13"/>
  <c r="F81" i="13" s="1"/>
  <c r="G55" i="11"/>
  <c r="E159" i="14"/>
  <c r="E146" i="14"/>
  <c r="E148" i="14" s="1"/>
  <c r="F125" i="13"/>
  <c r="H183" i="13" s="1"/>
  <c r="H238" i="13"/>
  <c r="J198" i="17"/>
  <c r="J131" i="17"/>
  <c r="G17" i="13"/>
  <c r="G74" i="13" s="1"/>
  <c r="H48" i="11"/>
  <c r="H17" i="13" s="1"/>
  <c r="H74" i="13" s="1"/>
  <c r="G13" i="14"/>
  <c r="H68" i="11"/>
  <c r="H13" i="14" s="1"/>
  <c r="F30" i="18"/>
  <c r="F61" i="18" s="1"/>
  <c r="G91" i="12"/>
  <c r="H139" i="17"/>
  <c r="H206" i="17"/>
  <c r="F92" i="13"/>
  <c r="E136" i="13"/>
  <c r="G194" i="13" s="1"/>
  <c r="G249" i="13"/>
  <c r="E61" i="13"/>
  <c r="G115" i="17"/>
  <c r="G119" i="17"/>
  <c r="P57" i="4" l="1"/>
  <c r="F95" i="14"/>
  <c r="H139" i="14" s="1"/>
  <c r="F96" i="14"/>
  <c r="H144" i="14" s="1"/>
  <c r="F18" i="6"/>
  <c r="G9" i="6" s="1"/>
  <c r="G160" i="14"/>
  <c r="D290" i="13"/>
  <c r="D292" i="13" s="1"/>
  <c r="E49" i="6" s="1"/>
  <c r="F16" i="6"/>
  <c r="E290" i="13" s="1"/>
  <c r="F61" i="13"/>
  <c r="J173" i="17"/>
  <c r="J172" i="17"/>
  <c r="G161" i="14"/>
  <c r="F17" i="6"/>
  <c r="D12" i="7"/>
  <c r="E157" i="10" s="1"/>
  <c r="F260" i="17"/>
  <c r="F262" i="17" s="1"/>
  <c r="E274" i="17"/>
  <c r="E276" i="17" s="1"/>
  <c r="F47" i="6"/>
  <c r="C22" i="7"/>
  <c r="H182" i="17"/>
  <c r="I118" i="17"/>
  <c r="J250" i="17" s="1"/>
  <c r="F36" i="6"/>
  <c r="H115" i="17"/>
  <c r="I246" i="17" s="1"/>
  <c r="H15" i="6"/>
  <c r="I6" i="6" s="1"/>
  <c r="G191" i="17"/>
  <c r="E12" i="7" s="1"/>
  <c r="E41" i="6"/>
  <c r="D175" i="18"/>
  <c r="D177" i="18" s="1"/>
  <c r="B23" i="7" s="1"/>
  <c r="E21" i="6"/>
  <c r="E42" i="6" s="1"/>
  <c r="D167" i="14"/>
  <c r="D169" i="14" s="1"/>
  <c r="B19" i="7" s="1"/>
  <c r="P46" i="4"/>
  <c r="Q43" i="4" s="1"/>
  <c r="Q44" i="4" s="1"/>
  <c r="Q56" i="4"/>
  <c r="Q58" i="4" s="1"/>
  <c r="G22" i="13"/>
  <c r="G79" i="13" s="1"/>
  <c r="H53" i="11"/>
  <c r="H22" i="13" s="1"/>
  <c r="H79" i="13" s="1"/>
  <c r="J234" i="17"/>
  <c r="J167" i="17"/>
  <c r="H149" i="13"/>
  <c r="J262" i="13"/>
  <c r="J234" i="13"/>
  <c r="H121" i="13"/>
  <c r="G47" i="13"/>
  <c r="G104" i="13" s="1"/>
  <c r="H58" i="12"/>
  <c r="H47" i="13" s="1"/>
  <c r="H104" i="13" s="1"/>
  <c r="H247" i="17"/>
  <c r="H184" i="17"/>
  <c r="J217" i="17"/>
  <c r="J150" i="17"/>
  <c r="J213" i="17"/>
  <c r="J146" i="17"/>
  <c r="I216" i="17"/>
  <c r="I149" i="17"/>
  <c r="I237" i="17"/>
  <c r="I170" i="17"/>
  <c r="G30" i="14"/>
  <c r="G54" i="14" s="1"/>
  <c r="H85" i="11"/>
  <c r="H30" i="14" s="1"/>
  <c r="H54" i="14" s="1"/>
  <c r="J209" i="17"/>
  <c r="J142" i="17"/>
  <c r="F161" i="13"/>
  <c r="H220" i="13" s="1"/>
  <c r="H274" i="13"/>
  <c r="I215" i="17"/>
  <c r="I148" i="17"/>
  <c r="F159" i="14"/>
  <c r="F146" i="14"/>
  <c r="F148" i="14" s="1"/>
  <c r="P38" i="4"/>
  <c r="P39" i="4" s="1"/>
  <c r="G156" i="14"/>
  <c r="E35" i="14"/>
  <c r="G29" i="13"/>
  <c r="G86" i="13" s="1"/>
  <c r="H60" i="11"/>
  <c r="H29" i="13" s="1"/>
  <c r="H86" i="13" s="1"/>
  <c r="G24" i="18"/>
  <c r="G55" i="18" s="1"/>
  <c r="H85" i="12"/>
  <c r="H24" i="18" s="1"/>
  <c r="H55" i="18" s="1"/>
  <c r="H168" i="13"/>
  <c r="J278" i="13"/>
  <c r="G46" i="13"/>
  <c r="G103" i="13" s="1"/>
  <c r="H57" i="12"/>
  <c r="H46" i="13" s="1"/>
  <c r="H103" i="13" s="1"/>
  <c r="J232" i="17"/>
  <c r="J165" i="17"/>
  <c r="J235" i="13"/>
  <c r="H122" i="13"/>
  <c r="J210" i="17"/>
  <c r="J143" i="17"/>
  <c r="F282" i="13"/>
  <c r="F283" i="13"/>
  <c r="J252" i="13"/>
  <c r="H139" i="13"/>
  <c r="H152" i="13"/>
  <c r="J265" i="13"/>
  <c r="H92" i="13"/>
  <c r="I277" i="13"/>
  <c r="G167" i="13"/>
  <c r="I226" i="13" s="1"/>
  <c r="I231" i="17"/>
  <c r="I164" i="17"/>
  <c r="G23" i="18"/>
  <c r="G54" i="18" s="1"/>
  <c r="H84" i="12"/>
  <c r="H23" i="18" s="1"/>
  <c r="H54" i="18" s="1"/>
  <c r="G22" i="14"/>
  <c r="G46" i="14" s="1"/>
  <c r="H22" i="14"/>
  <c r="H46" i="14" s="1"/>
  <c r="G23" i="13"/>
  <c r="G80" i="13" s="1"/>
  <c r="H54" i="11"/>
  <c r="H23" i="13" s="1"/>
  <c r="H80" i="13" s="1"/>
  <c r="F165" i="18"/>
  <c r="F166" i="18"/>
  <c r="I238" i="17"/>
  <c r="I171" i="17"/>
  <c r="F135" i="13"/>
  <c r="H193" i="13" s="1"/>
  <c r="H248" i="13"/>
  <c r="J153" i="14"/>
  <c r="G48" i="13"/>
  <c r="G105" i="13" s="1"/>
  <c r="H59" i="12"/>
  <c r="H48" i="13" s="1"/>
  <c r="H105" i="13" s="1"/>
  <c r="H114" i="17"/>
  <c r="I114" i="17"/>
  <c r="H165" i="13"/>
  <c r="J275" i="13"/>
  <c r="I236" i="17"/>
  <c r="I169" i="17"/>
  <c r="H154" i="18"/>
  <c r="H159" i="18" s="1"/>
  <c r="H168" i="18"/>
  <c r="H169" i="18"/>
  <c r="F129" i="13"/>
  <c r="H187" i="13" s="1"/>
  <c r="H242" i="13"/>
  <c r="I261" i="13"/>
  <c r="G148" i="13"/>
  <c r="I207" i="13" s="1"/>
  <c r="G79" i="14"/>
  <c r="I154" i="14"/>
  <c r="G78" i="14"/>
  <c r="G68" i="13"/>
  <c r="C123" i="10"/>
  <c r="C32" i="10"/>
  <c r="C168" i="10"/>
  <c r="C153" i="10"/>
  <c r="C138" i="10"/>
  <c r="B15" i="7"/>
  <c r="B18" i="7"/>
  <c r="J216" i="17"/>
  <c r="J149" i="17"/>
  <c r="J237" i="17"/>
  <c r="J170" i="17"/>
  <c r="I212" i="17"/>
  <c r="I145" i="17"/>
  <c r="I258" i="13"/>
  <c r="G145" i="13"/>
  <c r="I204" i="13" s="1"/>
  <c r="G52" i="13"/>
  <c r="G109" i="13" s="1"/>
  <c r="H63" i="12"/>
  <c r="H52" i="13" s="1"/>
  <c r="H109" i="13" s="1"/>
  <c r="J215" i="17"/>
  <c r="J148" i="17"/>
  <c r="F157" i="14"/>
  <c r="F158" i="14"/>
  <c r="E65" i="13"/>
  <c r="G200" i="13" s="1"/>
  <c r="E10" i="13"/>
  <c r="F158" i="13"/>
  <c r="H217" i="13" s="1"/>
  <c r="H271" i="13"/>
  <c r="F153" i="13"/>
  <c r="H212" i="13" s="1"/>
  <c r="H266" i="13"/>
  <c r="I155" i="14"/>
  <c r="G71" i="14"/>
  <c r="G70" i="14"/>
  <c r="I142" i="14" s="1"/>
  <c r="H152" i="14"/>
  <c r="I263" i="13"/>
  <c r="G150" i="13"/>
  <c r="I209" i="13" s="1"/>
  <c r="F160" i="13"/>
  <c r="H219" i="13" s="1"/>
  <c r="H273" i="13"/>
  <c r="D12" i="5"/>
  <c r="F130" i="13"/>
  <c r="H188" i="13" s="1"/>
  <c r="H243" i="13"/>
  <c r="I230" i="17"/>
  <c r="I163" i="17"/>
  <c r="I233" i="17"/>
  <c r="I166" i="17"/>
  <c r="G123" i="13"/>
  <c r="I181" i="13" s="1"/>
  <c r="I236" i="13"/>
  <c r="F136" i="13"/>
  <c r="H194" i="13" s="1"/>
  <c r="H249" i="13"/>
  <c r="I206" i="17"/>
  <c r="I139" i="17"/>
  <c r="G125" i="13"/>
  <c r="I183" i="13" s="1"/>
  <c r="I238" i="13"/>
  <c r="G28" i="18"/>
  <c r="G59" i="18" s="1"/>
  <c r="H89" i="12"/>
  <c r="H28" i="18" s="1"/>
  <c r="H59" i="18" s="1"/>
  <c r="H167" i="13"/>
  <c r="J277" i="13"/>
  <c r="J231" i="17"/>
  <c r="J164" i="17"/>
  <c r="F137" i="13"/>
  <c r="H195" i="13" s="1"/>
  <c r="H250" i="13"/>
  <c r="I235" i="17"/>
  <c r="I168" i="17"/>
  <c r="I163" i="18"/>
  <c r="G126" i="18"/>
  <c r="G143" i="18" s="1"/>
  <c r="I156" i="18" s="1"/>
  <c r="I167" i="18"/>
  <c r="G125" i="18"/>
  <c r="G142" i="18" s="1"/>
  <c r="I155" i="18" s="1"/>
  <c r="G124" i="18"/>
  <c r="G141" i="18" s="1"/>
  <c r="I164" i="18"/>
  <c r="F159" i="13"/>
  <c r="H218" i="13" s="1"/>
  <c r="H272" i="13"/>
  <c r="G178" i="13"/>
  <c r="G285" i="13"/>
  <c r="G284" i="13"/>
  <c r="D138" i="10"/>
  <c r="D123" i="10"/>
  <c r="D168" i="10"/>
  <c r="D153" i="10"/>
  <c r="D32" i="10"/>
  <c r="J238" i="17"/>
  <c r="J171" i="17"/>
  <c r="G26" i="13"/>
  <c r="G83" i="13" s="1"/>
  <c r="H57" i="11"/>
  <c r="H26" i="13" s="1"/>
  <c r="H83" i="13" s="1"/>
  <c r="F134" i="13"/>
  <c r="H192" i="13" s="1"/>
  <c r="H247" i="13"/>
  <c r="I211" i="17"/>
  <c r="I144" i="17"/>
  <c r="N65" i="4"/>
  <c r="N50" i="4"/>
  <c r="N52" i="4" s="1"/>
  <c r="E174" i="18"/>
  <c r="E166" i="14"/>
  <c r="G259" i="17"/>
  <c r="H118" i="17"/>
  <c r="F33" i="13"/>
  <c r="H251" i="17"/>
  <c r="H188" i="17"/>
  <c r="G126" i="13"/>
  <c r="I184" i="13" s="1"/>
  <c r="I239" i="13"/>
  <c r="G127" i="13"/>
  <c r="I185" i="13" s="1"/>
  <c r="I240" i="13"/>
  <c r="G30" i="18"/>
  <c r="G61" i="18" s="1"/>
  <c r="H91" i="12"/>
  <c r="H30" i="18" s="1"/>
  <c r="H61" i="18" s="1"/>
  <c r="J239" i="13"/>
  <c r="H126" i="13"/>
  <c r="C9" i="7"/>
  <c r="F37" i="6"/>
  <c r="G25" i="14"/>
  <c r="G49" i="14" s="1"/>
  <c r="H80" i="11"/>
  <c r="H25" i="14" s="1"/>
  <c r="H49" i="14" s="1"/>
  <c r="J236" i="17"/>
  <c r="J169" i="17"/>
  <c r="J240" i="13"/>
  <c r="H127" i="13"/>
  <c r="G20" i="13"/>
  <c r="G77" i="13" s="1"/>
  <c r="H51" i="11"/>
  <c r="H20" i="13" s="1"/>
  <c r="H77" i="13" s="1"/>
  <c r="H148" i="13"/>
  <c r="J207" i="13" s="1"/>
  <c r="J261" i="13"/>
  <c r="G24" i="14"/>
  <c r="G48" i="14" s="1"/>
  <c r="H79" i="11"/>
  <c r="H24" i="14" s="1"/>
  <c r="H48" i="14" s="1"/>
  <c r="G29" i="14"/>
  <c r="G53" i="14" s="1"/>
  <c r="H84" i="11"/>
  <c r="H29" i="14" s="1"/>
  <c r="H53" i="14" s="1"/>
  <c r="H79" i="14"/>
  <c r="J154" i="14"/>
  <c r="H78" i="14"/>
  <c r="O62" i="4"/>
  <c r="O63" i="4" s="1"/>
  <c r="H68" i="13"/>
  <c r="I276" i="13"/>
  <c r="G166" i="13"/>
  <c r="I225" i="13" s="1"/>
  <c r="E289" i="13"/>
  <c r="F12" i="6"/>
  <c r="E13" i="7"/>
  <c r="H39" i="6"/>
  <c r="F140" i="13"/>
  <c r="H198" i="13" s="1"/>
  <c r="H253" i="13"/>
  <c r="C124" i="10"/>
  <c r="C33" i="10"/>
  <c r="C169" i="10"/>
  <c r="C154" i="10"/>
  <c r="C139" i="10"/>
  <c r="J212" i="17"/>
  <c r="J145" i="17"/>
  <c r="H145" i="13"/>
  <c r="J204" i="13" s="1"/>
  <c r="J258" i="13"/>
  <c r="I260" i="13"/>
  <c r="G147" i="13"/>
  <c r="I206" i="13" s="1"/>
  <c r="I207" i="17"/>
  <c r="I140" i="17"/>
  <c r="E42" i="18"/>
  <c r="E12" i="18"/>
  <c r="F120" i="13"/>
  <c r="H233" i="13"/>
  <c r="G49" i="13"/>
  <c r="G106" i="13" s="1"/>
  <c r="H60" i="12"/>
  <c r="H49" i="13" s="1"/>
  <c r="H106" i="13" s="1"/>
  <c r="G28" i="14"/>
  <c r="G52" i="14" s="1"/>
  <c r="H83" i="11"/>
  <c r="H28" i="14" s="1"/>
  <c r="H52" i="14" s="1"/>
  <c r="G44" i="13"/>
  <c r="G101" i="13" s="1"/>
  <c r="H55" i="12"/>
  <c r="H44" i="13" s="1"/>
  <c r="H101" i="13" s="1"/>
  <c r="J155" i="14"/>
  <c r="H71" i="14"/>
  <c r="H70" i="14"/>
  <c r="G47" i="14"/>
  <c r="H47" i="14"/>
  <c r="H150" i="13"/>
  <c r="J263" i="13"/>
  <c r="G51" i="13"/>
  <c r="G108" i="13" s="1"/>
  <c r="H62" i="12"/>
  <c r="H51" i="13" s="1"/>
  <c r="H108" i="13" s="1"/>
  <c r="G25" i="18"/>
  <c r="G56" i="18" s="1"/>
  <c r="H86" i="12"/>
  <c r="H25" i="18" s="1"/>
  <c r="H56" i="18" s="1"/>
  <c r="G21" i="13"/>
  <c r="G78" i="13" s="1"/>
  <c r="H21" i="13"/>
  <c r="H78" i="13" s="1"/>
  <c r="J230" i="17"/>
  <c r="J163" i="17"/>
  <c r="G52" i="4"/>
  <c r="G65" i="4"/>
  <c r="F13" i="8" s="1"/>
  <c r="F15" i="8" s="1"/>
  <c r="J233" i="17"/>
  <c r="J166" i="17"/>
  <c r="J236" i="13"/>
  <c r="H123" i="13"/>
  <c r="G27" i="13"/>
  <c r="G84" i="13" s="1"/>
  <c r="H58" i="11"/>
  <c r="H27" i="13" s="1"/>
  <c r="H84" i="13" s="1"/>
  <c r="J206" i="17"/>
  <c r="J139" i="17"/>
  <c r="G26" i="14"/>
  <c r="G50" i="14" s="1"/>
  <c r="H81" i="11"/>
  <c r="H26" i="14" s="1"/>
  <c r="H50" i="14" s="1"/>
  <c r="J238" i="13"/>
  <c r="H125" i="13"/>
  <c r="G45" i="18"/>
  <c r="I208" i="17"/>
  <c r="I141" i="17"/>
  <c r="I259" i="13"/>
  <c r="G146" i="13"/>
  <c r="I205" i="13" s="1"/>
  <c r="F154" i="13"/>
  <c r="H213" i="13" s="1"/>
  <c r="H267" i="13"/>
  <c r="G28" i="13"/>
  <c r="G85" i="13" s="1"/>
  <c r="H59" i="11"/>
  <c r="H28" i="13" s="1"/>
  <c r="H85" i="13" s="1"/>
  <c r="J235" i="17"/>
  <c r="J168" i="17"/>
  <c r="J164" i="18"/>
  <c r="J163" i="18"/>
  <c r="H126" i="18"/>
  <c r="H143" i="18" s="1"/>
  <c r="J167" i="18"/>
  <c r="H125" i="18"/>
  <c r="H142" i="18" s="1"/>
  <c r="J155" i="18" s="1"/>
  <c r="H124" i="18"/>
  <c r="H141" i="18" s="1"/>
  <c r="G50" i="13"/>
  <c r="G107" i="13" s="1"/>
  <c r="H61" i="12"/>
  <c r="H50" i="13" s="1"/>
  <c r="H107" i="13" s="1"/>
  <c r="G124" i="13"/>
  <c r="I182" i="13" s="1"/>
  <c r="I237" i="13"/>
  <c r="G128" i="13"/>
  <c r="I186" i="13" s="1"/>
  <c r="I241" i="13"/>
  <c r="I264" i="13"/>
  <c r="G151" i="13"/>
  <c r="I210" i="13" s="1"/>
  <c r="G25" i="13"/>
  <c r="G82" i="13" s="1"/>
  <c r="H56" i="11"/>
  <c r="H25" i="13" s="1"/>
  <c r="H82" i="13" s="1"/>
  <c r="J211" i="17"/>
  <c r="J144" i="17"/>
  <c r="G27" i="18"/>
  <c r="G58" i="18" s="1"/>
  <c r="H88" i="12"/>
  <c r="H27" i="18" s="1"/>
  <c r="H58" i="18" s="1"/>
  <c r="H254" i="17"/>
  <c r="F39" i="18"/>
  <c r="H116" i="17"/>
  <c r="F32" i="14"/>
  <c r="J174" i="17"/>
  <c r="I115" i="17"/>
  <c r="H37" i="14"/>
  <c r="G24" i="13"/>
  <c r="G81" i="13" s="1"/>
  <c r="H55" i="11"/>
  <c r="H24" i="13" s="1"/>
  <c r="H81" i="13" s="1"/>
  <c r="F144" i="13"/>
  <c r="H203" i="13" s="1"/>
  <c r="H257" i="13"/>
  <c r="H246" i="17"/>
  <c r="H183" i="17"/>
  <c r="G37" i="14"/>
  <c r="F133" i="13"/>
  <c r="H191" i="13" s="1"/>
  <c r="H246" i="13"/>
  <c r="F131" i="13"/>
  <c r="H189" i="13" s="1"/>
  <c r="H244" i="13"/>
  <c r="I275" i="13"/>
  <c r="G165" i="13"/>
  <c r="I224" i="13" s="1"/>
  <c r="I234" i="17"/>
  <c r="I167" i="17"/>
  <c r="I262" i="13"/>
  <c r="G149" i="13"/>
  <c r="I208" i="13" s="1"/>
  <c r="E158" i="10"/>
  <c r="E143" i="10"/>
  <c r="E128" i="10"/>
  <c r="E37" i="10"/>
  <c r="E173" i="10"/>
  <c r="G121" i="13"/>
  <c r="I179" i="13" s="1"/>
  <c r="I234" i="13"/>
  <c r="F156" i="13"/>
  <c r="H215" i="13" s="1"/>
  <c r="H269" i="13"/>
  <c r="I217" i="17"/>
  <c r="I150" i="17"/>
  <c r="I213" i="17"/>
  <c r="I146" i="17"/>
  <c r="H166" i="13"/>
  <c r="J225" i="13" s="1"/>
  <c r="J276" i="13"/>
  <c r="G31" i="13"/>
  <c r="G88" i="13" s="1"/>
  <c r="H62" i="11"/>
  <c r="H31" i="13" s="1"/>
  <c r="H88" i="13" s="1"/>
  <c r="G27" i="14"/>
  <c r="G51" i="14" s="1"/>
  <c r="H82" i="11"/>
  <c r="H27" i="14" s="1"/>
  <c r="H51" i="14" s="1"/>
  <c r="G29" i="18"/>
  <c r="G60" i="18" s="1"/>
  <c r="H90" i="12"/>
  <c r="H29" i="18" s="1"/>
  <c r="H60" i="18" s="1"/>
  <c r="I209" i="17"/>
  <c r="I142" i="17"/>
  <c r="G22" i="18"/>
  <c r="G53" i="18" s="1"/>
  <c r="H83" i="12"/>
  <c r="H22" i="18" s="1"/>
  <c r="H53" i="18" s="1"/>
  <c r="H147" i="13"/>
  <c r="J260" i="13"/>
  <c r="J207" i="17"/>
  <c r="J140" i="17"/>
  <c r="H250" i="17"/>
  <c r="H187" i="17"/>
  <c r="F138" i="13"/>
  <c r="H196" i="13" s="1"/>
  <c r="H251" i="13"/>
  <c r="I278" i="13"/>
  <c r="G168" i="13"/>
  <c r="I227" i="13" s="1"/>
  <c r="F155" i="13"/>
  <c r="H214" i="13" s="1"/>
  <c r="H268" i="13"/>
  <c r="I232" i="17"/>
  <c r="I165" i="17"/>
  <c r="G122" i="13"/>
  <c r="I180" i="13" s="1"/>
  <c r="I235" i="13"/>
  <c r="I210" i="17"/>
  <c r="I143" i="17"/>
  <c r="G139" i="13"/>
  <c r="I197" i="13" s="1"/>
  <c r="I252" i="13"/>
  <c r="I265" i="13"/>
  <c r="G152" i="13"/>
  <c r="I211" i="13" s="1"/>
  <c r="H141" i="14"/>
  <c r="G92" i="13"/>
  <c r="H45" i="18"/>
  <c r="J208" i="17"/>
  <c r="J141" i="17"/>
  <c r="H146" i="13"/>
  <c r="J205" i="13" s="1"/>
  <c r="J259" i="13"/>
  <c r="G26" i="18"/>
  <c r="G57" i="18" s="1"/>
  <c r="H87" i="12"/>
  <c r="H26" i="18" s="1"/>
  <c r="H57" i="18" s="1"/>
  <c r="G45" i="13"/>
  <c r="G102" i="13" s="1"/>
  <c r="H56" i="12"/>
  <c r="H45" i="13" s="1"/>
  <c r="H102" i="13" s="1"/>
  <c r="F132" i="13"/>
  <c r="H190" i="13" s="1"/>
  <c r="H245" i="13"/>
  <c r="J237" i="13"/>
  <c r="H124" i="13"/>
  <c r="J241" i="13"/>
  <c r="H128" i="13"/>
  <c r="H151" i="13"/>
  <c r="J210" i="13" s="1"/>
  <c r="J264" i="13"/>
  <c r="G31" i="14"/>
  <c r="G55" i="14" s="1"/>
  <c r="H86" i="11"/>
  <c r="H31" i="14" s="1"/>
  <c r="H55" i="14" s="1"/>
  <c r="I153" i="14"/>
  <c r="F157" i="13"/>
  <c r="H216" i="13" s="1"/>
  <c r="H270" i="13"/>
  <c r="H119" i="17"/>
  <c r="H253" i="17"/>
  <c r="F229" i="13"/>
  <c r="I119" i="17"/>
  <c r="I116" i="17"/>
  <c r="J209" i="13" l="1"/>
  <c r="J156" i="18"/>
  <c r="J226" i="13"/>
  <c r="Q57" i="4"/>
  <c r="J206" i="13"/>
  <c r="E142" i="10"/>
  <c r="O64" i="4"/>
  <c r="P61" i="4" s="1"/>
  <c r="G96" i="14"/>
  <c r="I144" i="14" s="1"/>
  <c r="G95" i="14"/>
  <c r="I139" i="14" s="1"/>
  <c r="H96" i="14"/>
  <c r="H95" i="14"/>
  <c r="D302" i="13"/>
  <c r="D305" i="13" s="1"/>
  <c r="I183" i="17"/>
  <c r="E127" i="10"/>
  <c r="E36" i="10"/>
  <c r="E172" i="10"/>
  <c r="F274" i="17"/>
  <c r="F276" i="17" s="1"/>
  <c r="D22" i="7"/>
  <c r="G61" i="13"/>
  <c r="J183" i="13"/>
  <c r="H160" i="14"/>
  <c r="H161" i="14"/>
  <c r="D178" i="14"/>
  <c r="D180" i="14" s="1"/>
  <c r="J144" i="14"/>
  <c r="J161" i="14"/>
  <c r="G47" i="6"/>
  <c r="H34" i="6"/>
  <c r="J186" i="13"/>
  <c r="J181" i="13"/>
  <c r="F41" i="6"/>
  <c r="G7" i="6"/>
  <c r="F289" i="13" s="1"/>
  <c r="E50" i="6"/>
  <c r="G229" i="13"/>
  <c r="H36" i="6" s="1"/>
  <c r="G17" i="6"/>
  <c r="H8" i="6" s="1"/>
  <c r="J185" i="13"/>
  <c r="J182" i="13"/>
  <c r="I253" i="17"/>
  <c r="J142" i="14"/>
  <c r="G260" i="17"/>
  <c r="G262" i="17" s="1"/>
  <c r="I15" i="6"/>
  <c r="H260" i="17" s="1"/>
  <c r="J253" i="17"/>
  <c r="H191" i="17"/>
  <c r="F12" i="7" s="1"/>
  <c r="E44" i="6"/>
  <c r="E52" i="6"/>
  <c r="D186" i="18"/>
  <c r="D188" i="18" s="1"/>
  <c r="Q46" i="4"/>
  <c r="Q45" i="4"/>
  <c r="O49" i="4"/>
  <c r="N68" i="4"/>
  <c r="D8" i="7"/>
  <c r="G36" i="6"/>
  <c r="E175" i="18"/>
  <c r="E177" i="18" s="1"/>
  <c r="E167" i="14"/>
  <c r="E169" i="14" s="1"/>
  <c r="G8" i="6"/>
  <c r="I267" i="13"/>
  <c r="G154" i="13"/>
  <c r="I213" i="13" s="1"/>
  <c r="J253" i="13"/>
  <c r="H140" i="13"/>
  <c r="G137" i="13"/>
  <c r="I195" i="13" s="1"/>
  <c r="I250" i="13"/>
  <c r="G136" i="13"/>
  <c r="I194" i="13" s="1"/>
  <c r="I249" i="13"/>
  <c r="F173" i="10"/>
  <c r="F158" i="10"/>
  <c r="F143" i="10"/>
  <c r="F37" i="10"/>
  <c r="F128" i="10"/>
  <c r="J141" i="14"/>
  <c r="I250" i="17"/>
  <c r="I187" i="17"/>
  <c r="H161" i="13"/>
  <c r="J274" i="13"/>
  <c r="J245" i="17"/>
  <c r="J182" i="17"/>
  <c r="J254" i="17"/>
  <c r="J245" i="13"/>
  <c r="H132" i="13"/>
  <c r="H155" i="13"/>
  <c r="J268" i="13"/>
  <c r="G157" i="14"/>
  <c r="G158" i="14"/>
  <c r="J184" i="13"/>
  <c r="E292" i="13"/>
  <c r="C175" i="10"/>
  <c r="G33" i="13"/>
  <c r="J180" i="13"/>
  <c r="P40" i="4"/>
  <c r="Q37" i="4" s="1"/>
  <c r="J251" i="17"/>
  <c r="J188" i="17"/>
  <c r="H154" i="13"/>
  <c r="J267" i="13"/>
  <c r="F12" i="18"/>
  <c r="F42" i="18"/>
  <c r="J154" i="18"/>
  <c r="J159" i="18" s="1"/>
  <c r="J169" i="18"/>
  <c r="J168" i="18"/>
  <c r="J250" i="13"/>
  <c r="H137" i="13"/>
  <c r="J249" i="13"/>
  <c r="H136" i="13"/>
  <c r="I266" i="13"/>
  <c r="G153" i="13"/>
  <c r="I212" i="13" s="1"/>
  <c r="I271" i="13"/>
  <c r="G158" i="13"/>
  <c r="I217" i="13" s="1"/>
  <c r="G120" i="13"/>
  <c r="I233" i="13"/>
  <c r="H144" i="13"/>
  <c r="J257" i="13"/>
  <c r="G138" i="13"/>
  <c r="I196" i="13" s="1"/>
  <c r="I251" i="13"/>
  <c r="F172" i="10"/>
  <c r="F157" i="10"/>
  <c r="F142" i="10"/>
  <c r="F127" i="10"/>
  <c r="F36" i="10"/>
  <c r="H39" i="18"/>
  <c r="G32" i="14"/>
  <c r="H32" i="14"/>
  <c r="G39" i="18"/>
  <c r="H33" i="13"/>
  <c r="B25" i="7"/>
  <c r="C160" i="10"/>
  <c r="G18" i="6"/>
  <c r="H9" i="6" s="1"/>
  <c r="J227" i="13"/>
  <c r="J179" i="13"/>
  <c r="I251" i="17"/>
  <c r="I188" i="17"/>
  <c r="G133" i="13"/>
  <c r="I191" i="13" s="1"/>
  <c r="I246" i="13"/>
  <c r="J246" i="17"/>
  <c r="J183" i="17"/>
  <c r="I247" i="17"/>
  <c r="I184" i="17"/>
  <c r="G134" i="13"/>
  <c r="I192" i="13" s="1"/>
  <c r="I247" i="13"/>
  <c r="I272" i="13"/>
  <c r="G159" i="13"/>
  <c r="I218" i="13" s="1"/>
  <c r="H49" i="4"/>
  <c r="G68" i="4"/>
  <c r="G130" i="13"/>
  <c r="I188" i="13" s="1"/>
  <c r="I243" i="13"/>
  <c r="I273" i="13"/>
  <c r="G160" i="13"/>
  <c r="I219" i="13" s="1"/>
  <c r="I152" i="14"/>
  <c r="H153" i="13"/>
  <c r="J266" i="13"/>
  <c r="H158" i="13"/>
  <c r="J271" i="13"/>
  <c r="G165" i="18"/>
  <c r="G166" i="18"/>
  <c r="J233" i="13"/>
  <c r="H120" i="13"/>
  <c r="G129" i="13"/>
  <c r="I187" i="13" s="1"/>
  <c r="I242" i="13"/>
  <c r="D139" i="10"/>
  <c r="D145" i="10" s="1"/>
  <c r="D124" i="10"/>
  <c r="D130" i="10" s="1"/>
  <c r="D169" i="10"/>
  <c r="D175" i="10" s="1"/>
  <c r="D154" i="10"/>
  <c r="D160" i="10" s="1"/>
  <c r="D33" i="10"/>
  <c r="D39" i="10" s="1"/>
  <c r="N66" i="4"/>
  <c r="E97" i="4" s="1"/>
  <c r="N51" i="4"/>
  <c r="G135" i="13"/>
  <c r="I193" i="13" s="1"/>
  <c r="I248" i="13"/>
  <c r="E12" i="5"/>
  <c r="G282" i="13"/>
  <c r="G283" i="13"/>
  <c r="F13" i="7"/>
  <c r="I39" i="6"/>
  <c r="I270" i="13"/>
  <c r="G157" i="13"/>
  <c r="I216" i="13" s="1"/>
  <c r="J251" i="13"/>
  <c r="H138" i="13"/>
  <c r="I269" i="13"/>
  <c r="G156" i="13"/>
  <c r="I215" i="13" s="1"/>
  <c r="G131" i="13"/>
  <c r="I189" i="13" s="1"/>
  <c r="I244" i="13"/>
  <c r="H259" i="17"/>
  <c r="I254" i="17"/>
  <c r="C15" i="7"/>
  <c r="F21" i="6"/>
  <c r="F42" i="6" s="1"/>
  <c r="C145" i="10"/>
  <c r="C130" i="10"/>
  <c r="J224" i="13"/>
  <c r="H61" i="13"/>
  <c r="J197" i="13"/>
  <c r="J208" i="13"/>
  <c r="J187" i="17"/>
  <c r="J247" i="17"/>
  <c r="J184" i="17"/>
  <c r="I257" i="13"/>
  <c r="G144" i="13"/>
  <c r="I203" i="13" s="1"/>
  <c r="G140" i="13"/>
  <c r="I198" i="13" s="1"/>
  <c r="I253" i="13"/>
  <c r="J246" i="13"/>
  <c r="H133" i="13"/>
  <c r="H156" i="14"/>
  <c r="F12" i="14"/>
  <c r="H157" i="14" s="1"/>
  <c r="F35" i="14"/>
  <c r="J247" i="13"/>
  <c r="H134" i="13"/>
  <c r="H159" i="13"/>
  <c r="J218" i="13" s="1"/>
  <c r="J272" i="13"/>
  <c r="J243" i="13"/>
  <c r="H130" i="13"/>
  <c r="J188" i="13" s="1"/>
  <c r="H160" i="13"/>
  <c r="J219" i="13" s="1"/>
  <c r="J273" i="13"/>
  <c r="J152" i="14"/>
  <c r="H178" i="13"/>
  <c r="H284" i="13"/>
  <c r="H285" i="13"/>
  <c r="P62" i="4"/>
  <c r="P63" i="4" s="1"/>
  <c r="J242" i="13"/>
  <c r="H129" i="13"/>
  <c r="F65" i="13"/>
  <c r="H200" i="13" s="1"/>
  <c r="F10" i="13"/>
  <c r="J248" i="13"/>
  <c r="H135" i="13"/>
  <c r="I154" i="18"/>
  <c r="I159" i="18" s="1"/>
  <c r="I168" i="18"/>
  <c r="I169" i="18"/>
  <c r="I274" i="13"/>
  <c r="G161" i="13"/>
  <c r="I220" i="13" s="1"/>
  <c r="C6" i="9"/>
  <c r="I141" i="14"/>
  <c r="I245" i="17"/>
  <c r="I182" i="17"/>
  <c r="H157" i="13"/>
  <c r="J270" i="13"/>
  <c r="G132" i="13"/>
  <c r="I190" i="13" s="1"/>
  <c r="I245" i="13"/>
  <c r="I268" i="13"/>
  <c r="G155" i="13"/>
  <c r="I214" i="13" s="1"/>
  <c r="G159" i="14"/>
  <c r="G146" i="14"/>
  <c r="G148" i="14" s="1"/>
  <c r="D9" i="7"/>
  <c r="G37" i="6"/>
  <c r="H156" i="13"/>
  <c r="J269" i="13"/>
  <c r="J244" i="13"/>
  <c r="H131" i="13"/>
  <c r="C39" i="10"/>
  <c r="J211" i="13"/>
  <c r="G16" i="6"/>
  <c r="J217" i="13" l="1"/>
  <c r="J213" i="13"/>
  <c r="H17" i="6"/>
  <c r="J215" i="13"/>
  <c r="J193" i="13"/>
  <c r="J212" i="13"/>
  <c r="I160" i="14"/>
  <c r="J216" i="13"/>
  <c r="J139" i="14"/>
  <c r="J160" i="14"/>
  <c r="I161" i="14"/>
  <c r="E54" i="6"/>
  <c r="E55" i="6" s="1"/>
  <c r="C11" i="9" s="1"/>
  <c r="C27" i="9" s="1"/>
  <c r="C28" i="9" s="1"/>
  <c r="J6" i="6"/>
  <c r="I259" i="17" s="1"/>
  <c r="I191" i="17"/>
  <c r="J34" i="6" s="1"/>
  <c r="J196" i="13"/>
  <c r="J195" i="13"/>
  <c r="J191" i="13"/>
  <c r="J187" i="13"/>
  <c r="G12" i="6"/>
  <c r="F44" i="6"/>
  <c r="E8" i="7"/>
  <c r="F138" i="10" s="1"/>
  <c r="J194" i="13"/>
  <c r="J192" i="13"/>
  <c r="H229" i="13"/>
  <c r="I36" i="6" s="1"/>
  <c r="J189" i="13"/>
  <c r="H16" i="6"/>
  <c r="G290" i="13" s="1"/>
  <c r="H47" i="6"/>
  <c r="E22" i="7"/>
  <c r="G274" i="17"/>
  <c r="G276" i="17" s="1"/>
  <c r="J15" i="6"/>
  <c r="K6" i="6" s="1"/>
  <c r="I34" i="6"/>
  <c r="H262" i="17"/>
  <c r="H274" i="17" s="1"/>
  <c r="H276" i="17" s="1"/>
  <c r="K15" i="6"/>
  <c r="J260" i="17" s="1"/>
  <c r="J191" i="17"/>
  <c r="K34" i="6" s="1"/>
  <c r="E9" i="7"/>
  <c r="H37" i="6"/>
  <c r="H41" i="6" s="1"/>
  <c r="E154" i="10"/>
  <c r="E139" i="10"/>
  <c r="E124" i="10"/>
  <c r="E33" i="10"/>
  <c r="E169" i="10"/>
  <c r="H158" i="14"/>
  <c r="N67" i="4"/>
  <c r="J178" i="13"/>
  <c r="J285" i="13"/>
  <c r="J284" i="13"/>
  <c r="H65" i="4"/>
  <c r="G13" i="8" s="1"/>
  <c r="G15" i="8" s="1"/>
  <c r="H52" i="4"/>
  <c r="J156" i="14"/>
  <c r="H35" i="14"/>
  <c r="H12" i="14"/>
  <c r="H165" i="18"/>
  <c r="H166" i="18"/>
  <c r="E178" i="14"/>
  <c r="E180" i="14" s="1"/>
  <c r="C19" i="7"/>
  <c r="F50" i="6"/>
  <c r="P64" i="4"/>
  <c r="Q61" i="4" s="1"/>
  <c r="J190" i="13"/>
  <c r="J220" i="13"/>
  <c r="F290" i="13"/>
  <c r="F292" i="13" s="1"/>
  <c r="H7" i="6"/>
  <c r="G21" i="6"/>
  <c r="G42" i="6" s="1"/>
  <c r="H282" i="13"/>
  <c r="H283" i="13"/>
  <c r="H159" i="14"/>
  <c r="H146" i="14"/>
  <c r="H148" i="14" s="1"/>
  <c r="G128" i="10"/>
  <c r="G37" i="10"/>
  <c r="G173" i="10"/>
  <c r="G158" i="10"/>
  <c r="G143" i="10"/>
  <c r="Q38" i="4"/>
  <c r="Q39" i="4" s="1"/>
  <c r="E302" i="13"/>
  <c r="E305" i="13" s="1"/>
  <c r="C18" i="7"/>
  <c r="F49" i="6"/>
  <c r="F174" i="18"/>
  <c r="F166" i="14"/>
  <c r="E153" i="10"/>
  <c r="E138" i="10"/>
  <c r="E123" i="10"/>
  <c r="E32" i="10"/>
  <c r="E168" i="10"/>
  <c r="D15" i="7"/>
  <c r="O50" i="4"/>
  <c r="O66" i="4" s="1"/>
  <c r="F97" i="4" s="1"/>
  <c r="O65" i="4"/>
  <c r="H18" i="6"/>
  <c r="I9" i="6" s="1"/>
  <c r="J203" i="13"/>
  <c r="J214" i="13"/>
  <c r="J198" i="13"/>
  <c r="D6" i="9"/>
  <c r="C148" i="10"/>
  <c r="C149" i="10" s="1"/>
  <c r="C150" i="10" s="1"/>
  <c r="C133" i="10"/>
  <c r="C134" i="10" s="1"/>
  <c r="C135" i="10" s="1"/>
  <c r="C178" i="10"/>
  <c r="C179" i="10" s="1"/>
  <c r="C180" i="10" s="1"/>
  <c r="C41" i="10"/>
  <c r="C43" i="10" s="1"/>
  <c r="C47" i="10" s="1"/>
  <c r="C163" i="10"/>
  <c r="C164" i="10" s="1"/>
  <c r="C165" i="10" s="1"/>
  <c r="B38" i="7"/>
  <c r="B40" i="7" s="1"/>
  <c r="C22" i="9"/>
  <c r="G42" i="18"/>
  <c r="G12" i="18"/>
  <c r="H42" i="18"/>
  <c r="H12" i="18"/>
  <c r="K39" i="6"/>
  <c r="H13" i="7"/>
  <c r="G127" i="10"/>
  <c r="G36" i="10"/>
  <c r="G172" i="10"/>
  <c r="G157" i="10"/>
  <c r="G142" i="10"/>
  <c r="G41" i="6"/>
  <c r="F175" i="18"/>
  <c r="F167" i="14"/>
  <c r="J39" i="6"/>
  <c r="G13" i="7"/>
  <c r="G12" i="5"/>
  <c r="C13" i="5" s="1"/>
  <c r="H65" i="13"/>
  <c r="J200" i="13" s="1"/>
  <c r="H10" i="13"/>
  <c r="G35" i="14"/>
  <c r="G12" i="14"/>
  <c r="I156" i="14"/>
  <c r="I178" i="13"/>
  <c r="I284" i="13"/>
  <c r="I285" i="13"/>
  <c r="G65" i="13"/>
  <c r="I200" i="13" s="1"/>
  <c r="G10" i="13"/>
  <c r="E186" i="18"/>
  <c r="E188" i="18" s="1"/>
  <c r="C23" i="7"/>
  <c r="F52" i="6"/>
  <c r="Q40" i="4" l="1"/>
  <c r="I17" i="6"/>
  <c r="H167" i="14" s="1"/>
  <c r="G12" i="7"/>
  <c r="H127" i="10" s="1"/>
  <c r="F22" i="7"/>
  <c r="E56" i="6"/>
  <c r="D11" i="2" s="1"/>
  <c r="D12" i="2" s="1"/>
  <c r="H21" i="6"/>
  <c r="H42" i="6" s="1"/>
  <c r="H44" i="6" s="1"/>
  <c r="I7" i="6"/>
  <c r="H289" i="13" s="1"/>
  <c r="I16" i="6"/>
  <c r="H290" i="13" s="1"/>
  <c r="F123" i="10"/>
  <c r="F32" i="10"/>
  <c r="F168" i="10"/>
  <c r="F153" i="10"/>
  <c r="E15" i="7"/>
  <c r="F6" i="9" s="1"/>
  <c r="F169" i="14"/>
  <c r="G50" i="6" s="1"/>
  <c r="I229" i="13"/>
  <c r="G8" i="7" s="1"/>
  <c r="G44" i="6"/>
  <c r="E145" i="10"/>
  <c r="H12" i="7"/>
  <c r="I142" i="10" s="1"/>
  <c r="I47" i="6"/>
  <c r="F8" i="7"/>
  <c r="G32" i="10" s="1"/>
  <c r="I260" i="17"/>
  <c r="I262" i="17" s="1"/>
  <c r="F177" i="18"/>
  <c r="G52" i="6" s="1"/>
  <c r="E130" i="10"/>
  <c r="E39" i="10"/>
  <c r="E175" i="10"/>
  <c r="E160" i="10"/>
  <c r="H143" i="10"/>
  <c r="H128" i="10"/>
  <c r="H173" i="10"/>
  <c r="H158" i="10"/>
  <c r="H37" i="10"/>
  <c r="I158" i="10"/>
  <c r="I143" i="10"/>
  <c r="I128" i="10"/>
  <c r="I37" i="10"/>
  <c r="I173" i="10"/>
  <c r="C106" i="10"/>
  <c r="B45" i="7"/>
  <c r="F9" i="7"/>
  <c r="I37" i="6"/>
  <c r="I41" i="6" s="1"/>
  <c r="Q62" i="4"/>
  <c r="Q63" i="4" s="1"/>
  <c r="F169" i="10"/>
  <c r="F154" i="10"/>
  <c r="F139" i="10"/>
  <c r="F145" i="10" s="1"/>
  <c r="F33" i="10"/>
  <c r="F124" i="10"/>
  <c r="I159" i="14"/>
  <c r="I146" i="14"/>
  <c r="I148" i="14" s="1"/>
  <c r="G174" i="18"/>
  <c r="G166" i="14"/>
  <c r="J165" i="18"/>
  <c r="J166" i="18"/>
  <c r="F302" i="13"/>
  <c r="F305" i="13" s="1"/>
  <c r="D18" i="7"/>
  <c r="G49" i="6"/>
  <c r="J159" i="14"/>
  <c r="J146" i="14"/>
  <c r="J148" i="14" s="1"/>
  <c r="J259" i="17"/>
  <c r="J262" i="17" s="1"/>
  <c r="C25" i="7"/>
  <c r="I157" i="14"/>
  <c r="I158" i="14"/>
  <c r="E6" i="9"/>
  <c r="G289" i="13"/>
  <c r="G292" i="13" s="1"/>
  <c r="H12" i="6"/>
  <c r="J157" i="14"/>
  <c r="J158" i="14"/>
  <c r="F54" i="6"/>
  <c r="F55" i="6" s="1"/>
  <c r="D11" i="9" s="1"/>
  <c r="D27" i="9" s="1"/>
  <c r="D28" i="9" s="1"/>
  <c r="O51" i="4"/>
  <c r="I282" i="13"/>
  <c r="I283" i="13"/>
  <c r="J282" i="13"/>
  <c r="J283" i="13"/>
  <c r="D13" i="5"/>
  <c r="G175" i="18"/>
  <c r="G167" i="14"/>
  <c r="I8" i="6"/>
  <c r="I165" i="18"/>
  <c r="I166" i="18"/>
  <c r="I49" i="4"/>
  <c r="H68" i="4"/>
  <c r="O52" i="4"/>
  <c r="I18" i="6"/>
  <c r="J9" i="6" s="1"/>
  <c r="J229" i="13"/>
  <c r="E21" i="2" l="1"/>
  <c r="J18" i="6"/>
  <c r="K9" i="6" s="1"/>
  <c r="Q64" i="4"/>
  <c r="H157" i="10"/>
  <c r="J17" i="6"/>
  <c r="I167" i="14" s="1"/>
  <c r="H172" i="10"/>
  <c r="H142" i="10"/>
  <c r="H36" i="10"/>
  <c r="I127" i="10"/>
  <c r="J7" i="6"/>
  <c r="I289" i="13" s="1"/>
  <c r="J41" i="7"/>
  <c r="F130" i="10"/>
  <c r="G123" i="10"/>
  <c r="G138" i="10"/>
  <c r="I12" i="6"/>
  <c r="G168" i="10"/>
  <c r="G153" i="10"/>
  <c r="F160" i="10"/>
  <c r="H292" i="13"/>
  <c r="F18" i="7" s="1"/>
  <c r="F39" i="10"/>
  <c r="F175" i="10"/>
  <c r="I36" i="10"/>
  <c r="F178" i="14"/>
  <c r="F180" i="14" s="1"/>
  <c r="I172" i="10"/>
  <c r="I157" i="10"/>
  <c r="D19" i="7"/>
  <c r="J36" i="6"/>
  <c r="F186" i="18"/>
  <c r="F188" i="18" s="1"/>
  <c r="J16" i="6"/>
  <c r="K7" i="6" s="1"/>
  <c r="F15" i="7"/>
  <c r="G6" i="9" s="1"/>
  <c r="J47" i="6"/>
  <c r="I274" i="17"/>
  <c r="I276" i="17" s="1"/>
  <c r="D23" i="7"/>
  <c r="G22" i="7"/>
  <c r="H175" i="18"/>
  <c r="J8" i="6"/>
  <c r="D12" i="9"/>
  <c r="G169" i="14"/>
  <c r="H50" i="6" s="1"/>
  <c r="G177" i="18"/>
  <c r="E23" i="7" s="1"/>
  <c r="G302" i="13"/>
  <c r="G305" i="13" s="1"/>
  <c r="E18" i="7"/>
  <c r="H49" i="6"/>
  <c r="H9" i="7"/>
  <c r="K37" i="6"/>
  <c r="D163" i="10"/>
  <c r="D164" i="10" s="1"/>
  <c r="D165" i="10" s="1"/>
  <c r="D148" i="10"/>
  <c r="D149" i="10" s="1"/>
  <c r="D150" i="10" s="1"/>
  <c r="D133" i="10"/>
  <c r="D134" i="10" s="1"/>
  <c r="D135" i="10" s="1"/>
  <c r="D178" i="10"/>
  <c r="D179" i="10" s="1"/>
  <c r="D180" i="10" s="1"/>
  <c r="D22" i="9"/>
  <c r="C38" i="7"/>
  <c r="C40" i="7" s="1"/>
  <c r="D41" i="10"/>
  <c r="D43" i="10" s="1"/>
  <c r="D47" i="10" s="1"/>
  <c r="G9" i="7"/>
  <c r="G15" i="7" s="1"/>
  <c r="J37" i="6"/>
  <c r="H138" i="10"/>
  <c r="H123" i="10"/>
  <c r="H168" i="10"/>
  <c r="H153" i="10"/>
  <c r="H32" i="10"/>
  <c r="I21" i="6"/>
  <c r="I42" i="6" s="1"/>
  <c r="I44" i="6" s="1"/>
  <c r="H8" i="7"/>
  <c r="K36" i="6"/>
  <c r="O68" i="4"/>
  <c r="P49" i="4"/>
  <c r="I65" i="4"/>
  <c r="H13" i="8" s="1"/>
  <c r="H15" i="8" s="1"/>
  <c r="I52" i="4"/>
  <c r="I68" i="4" s="1"/>
  <c r="O67" i="4"/>
  <c r="K16" i="6"/>
  <c r="J274" i="17"/>
  <c r="J276" i="17" s="1"/>
  <c r="H22" i="7"/>
  <c r="K47" i="6"/>
  <c r="G124" i="10"/>
  <c r="G33" i="10"/>
  <c r="G39" i="10" s="1"/>
  <c r="G169" i="10"/>
  <c r="G154" i="10"/>
  <c r="G139" i="10"/>
  <c r="H174" i="18"/>
  <c r="H166" i="14"/>
  <c r="H169" i="14" s="1"/>
  <c r="E13" i="5"/>
  <c r="C80" i="10"/>
  <c r="C91" i="10"/>
  <c r="C69" i="10"/>
  <c r="D22" i="10"/>
  <c r="C15" i="10"/>
  <c r="K17" i="6"/>
  <c r="G54" i="6"/>
  <c r="G55" i="6" s="1"/>
  <c r="E11" i="9" s="1"/>
  <c r="E27" i="9" s="1"/>
  <c r="E28" i="9" s="1"/>
  <c r="K18" i="6"/>
  <c r="G130" i="10" l="1"/>
  <c r="J12" i="6"/>
  <c r="G145" i="10"/>
  <c r="I49" i="6"/>
  <c r="H302" i="13"/>
  <c r="H305" i="13" s="1"/>
  <c r="G175" i="10"/>
  <c r="J41" i="6"/>
  <c r="G160" i="10"/>
  <c r="I290" i="13"/>
  <c r="I292" i="13" s="1"/>
  <c r="D25" i="7"/>
  <c r="E178" i="10" s="1"/>
  <c r="E179" i="10" s="1"/>
  <c r="E180" i="10" s="1"/>
  <c r="I166" i="14"/>
  <c r="I169" i="14" s="1"/>
  <c r="I174" i="18"/>
  <c r="K8" i="6"/>
  <c r="J166" i="14" s="1"/>
  <c r="J21" i="6"/>
  <c r="J42" i="6" s="1"/>
  <c r="I175" i="18"/>
  <c r="H177" i="18"/>
  <c r="H186" i="18" s="1"/>
  <c r="H188" i="18" s="1"/>
  <c r="G178" i="14"/>
  <c r="G180" i="14" s="1"/>
  <c r="E19" i="7"/>
  <c r="E25" i="7" s="1"/>
  <c r="K41" i="6"/>
  <c r="H52" i="6"/>
  <c r="H54" i="6" s="1"/>
  <c r="H55" i="6" s="1"/>
  <c r="F11" i="9" s="1"/>
  <c r="G186" i="18"/>
  <c r="G188" i="18" s="1"/>
  <c r="J175" i="18"/>
  <c r="J167" i="14"/>
  <c r="H178" i="14"/>
  <c r="H180" i="14" s="1"/>
  <c r="F19" i="7"/>
  <c r="I50" i="6"/>
  <c r="C7" i="9"/>
  <c r="C12" i="9" s="1"/>
  <c r="B33" i="8"/>
  <c r="E22" i="2"/>
  <c r="P50" i="4"/>
  <c r="P65" i="4"/>
  <c r="D106" i="10"/>
  <c r="C45" i="7"/>
  <c r="E12" i="9"/>
  <c r="I153" i="10"/>
  <c r="I138" i="10"/>
  <c r="I123" i="10"/>
  <c r="I32" i="10"/>
  <c r="I168" i="10"/>
  <c r="H15" i="7"/>
  <c r="J290" i="13"/>
  <c r="K21" i="6"/>
  <c r="K42" i="6" s="1"/>
  <c r="H6" i="9"/>
  <c r="J289" i="13"/>
  <c r="G13" i="5"/>
  <c r="C14" i="5" s="1"/>
  <c r="H139" i="10"/>
  <c r="H145" i="10" s="1"/>
  <c r="H124" i="10"/>
  <c r="H130" i="10" s="1"/>
  <c r="H169" i="10"/>
  <c r="H175" i="10" s="1"/>
  <c r="H154" i="10"/>
  <c r="H160" i="10" s="1"/>
  <c r="H33" i="10"/>
  <c r="H39" i="10" s="1"/>
  <c r="I154" i="10"/>
  <c r="I139" i="10"/>
  <c r="I124" i="10"/>
  <c r="I33" i="10"/>
  <c r="I169" i="10"/>
  <c r="E41" i="10" l="1"/>
  <c r="E43" i="10" s="1"/>
  <c r="E47" i="10" s="1"/>
  <c r="J44" i="6"/>
  <c r="E133" i="10"/>
  <c r="E134" i="10" s="1"/>
  <c r="E135" i="10" s="1"/>
  <c r="E148" i="10"/>
  <c r="E149" i="10" s="1"/>
  <c r="E150" i="10" s="1"/>
  <c r="D38" i="7"/>
  <c r="D40" i="7" s="1"/>
  <c r="D45" i="7" s="1"/>
  <c r="K12" i="6"/>
  <c r="E163" i="10"/>
  <c r="E164" i="10" s="1"/>
  <c r="E165" i="10" s="1"/>
  <c r="G18" i="7"/>
  <c r="I302" i="13"/>
  <c r="I305" i="13" s="1"/>
  <c r="J49" i="6"/>
  <c r="E22" i="9"/>
  <c r="I177" i="18"/>
  <c r="J52" i="6" s="1"/>
  <c r="J174" i="18"/>
  <c r="J177" i="18" s="1"/>
  <c r="F23" i="7"/>
  <c r="F25" i="7" s="1"/>
  <c r="G148" i="10" s="1"/>
  <c r="G149" i="10" s="1"/>
  <c r="G150" i="10" s="1"/>
  <c r="I52" i="6"/>
  <c r="I54" i="6" s="1"/>
  <c r="I55" i="6" s="1"/>
  <c r="G11" i="9" s="1"/>
  <c r="G27" i="9" s="1"/>
  <c r="G28" i="9" s="1"/>
  <c r="K44" i="6"/>
  <c r="F27" i="9"/>
  <c r="F28" i="9" s="1"/>
  <c r="F12" i="9"/>
  <c r="F133" i="10"/>
  <c r="F134" i="10" s="1"/>
  <c r="F135" i="10" s="1"/>
  <c r="F178" i="10"/>
  <c r="F179" i="10" s="1"/>
  <c r="F180" i="10" s="1"/>
  <c r="F163" i="10"/>
  <c r="F164" i="10" s="1"/>
  <c r="F165" i="10" s="1"/>
  <c r="F22" i="9"/>
  <c r="F148" i="10"/>
  <c r="F149" i="10" s="1"/>
  <c r="F150" i="10" s="1"/>
  <c r="F41" i="10"/>
  <c r="F43" i="10" s="1"/>
  <c r="F47" i="10" s="1"/>
  <c r="E38" i="7"/>
  <c r="E40" i="7" s="1"/>
  <c r="P66" i="4"/>
  <c r="G97" i="4" s="1"/>
  <c r="P51" i="4"/>
  <c r="I39" i="10"/>
  <c r="I178" i="14"/>
  <c r="I180" i="14" s="1"/>
  <c r="G19" i="7"/>
  <c r="J50" i="6"/>
  <c r="I175" i="10"/>
  <c r="I160" i="10"/>
  <c r="J169" i="14"/>
  <c r="C33" i="8"/>
  <c r="I145" i="10"/>
  <c r="D14" i="5"/>
  <c r="I6" i="9"/>
  <c r="J292" i="13"/>
  <c r="I130" i="10"/>
  <c r="P52" i="4"/>
  <c r="E106" i="10" l="1"/>
  <c r="I186" i="18"/>
  <c r="I188" i="18" s="1"/>
  <c r="J54" i="6"/>
  <c r="J55" i="6" s="1"/>
  <c r="H11" i="9" s="1"/>
  <c r="H27" i="9" s="1"/>
  <c r="H28" i="9" s="1"/>
  <c r="G23" i="7"/>
  <c r="G25" i="7" s="1"/>
  <c r="H133" i="10" s="1"/>
  <c r="H134" i="10" s="1"/>
  <c r="H135" i="10" s="1"/>
  <c r="G12" i="9"/>
  <c r="F38" i="7"/>
  <c r="F40" i="7" s="1"/>
  <c r="F45" i="7" s="1"/>
  <c r="G133" i="10"/>
  <c r="G134" i="10" s="1"/>
  <c r="G135" i="10" s="1"/>
  <c r="G22" i="9"/>
  <c r="G178" i="10"/>
  <c r="G179" i="10" s="1"/>
  <c r="G180" i="10" s="1"/>
  <c r="G41" i="10"/>
  <c r="G43" i="10" s="1"/>
  <c r="G47" i="10" s="1"/>
  <c r="G163" i="10"/>
  <c r="G164" i="10" s="1"/>
  <c r="G165" i="10" s="1"/>
  <c r="D33" i="8"/>
  <c r="P67" i="4"/>
  <c r="J302" i="13"/>
  <c r="J305" i="13" s="1"/>
  <c r="H18" i="7"/>
  <c r="K49" i="6"/>
  <c r="J186" i="18"/>
  <c r="J188" i="18" s="1"/>
  <c r="H23" i="7"/>
  <c r="K52" i="6"/>
  <c r="Q49" i="4"/>
  <c r="P68" i="4"/>
  <c r="E14" i="5"/>
  <c r="J178" i="14"/>
  <c r="J180" i="14" s="1"/>
  <c r="H19" i="7"/>
  <c r="K50" i="6"/>
  <c r="F106" i="10"/>
  <c r="E45" i="7"/>
  <c r="G106" i="10" l="1"/>
  <c r="H12" i="9"/>
  <c r="H163" i="10"/>
  <c r="H164" i="10" s="1"/>
  <c r="H165" i="10" s="1"/>
  <c r="H178" i="10"/>
  <c r="H179" i="10" s="1"/>
  <c r="H180" i="10" s="1"/>
  <c r="H25" i="7"/>
  <c r="I148" i="10" s="1"/>
  <c r="I149" i="10" s="1"/>
  <c r="I150" i="10" s="1"/>
  <c r="H41" i="10"/>
  <c r="H43" i="10" s="1"/>
  <c r="H47" i="10" s="1"/>
  <c r="H22" i="9"/>
  <c r="H148" i="10"/>
  <c r="H149" i="10" s="1"/>
  <c r="H150" i="10" s="1"/>
  <c r="G38" i="7"/>
  <c r="G40" i="7" s="1"/>
  <c r="H106" i="10" s="1"/>
  <c r="G14" i="5"/>
  <c r="C15" i="5" s="1"/>
  <c r="E33" i="8"/>
  <c r="K54" i="6"/>
  <c r="K55" i="6" s="1"/>
  <c r="I11" i="9" s="1"/>
  <c r="Q65" i="4"/>
  <c r="Q50" i="4"/>
  <c r="Q52" i="4" s="1"/>
  <c r="Q68" i="4" s="1"/>
  <c r="I178" i="10" l="1"/>
  <c r="I179" i="10" s="1"/>
  <c r="I180" i="10" s="1"/>
  <c r="I41" i="10"/>
  <c r="I43" i="10" s="1"/>
  <c r="I47" i="10" s="1"/>
  <c r="C49" i="10" s="1"/>
  <c r="D28" i="2" s="1"/>
  <c r="I163" i="10"/>
  <c r="I164" i="10" s="1"/>
  <c r="I165" i="10" s="1"/>
  <c r="G45" i="7"/>
  <c r="H38" i="7"/>
  <c r="H40" i="7" s="1"/>
  <c r="H45" i="7" s="1"/>
  <c r="I22" i="9"/>
  <c r="I133" i="10"/>
  <c r="I134" i="10" s="1"/>
  <c r="I135" i="10" s="1"/>
  <c r="I27" i="9"/>
  <c r="I28" i="9" s="1"/>
  <c r="I12" i="9"/>
  <c r="F33" i="8"/>
  <c r="D15" i="5"/>
  <c r="E15" i="5" s="1"/>
  <c r="Q66" i="4"/>
  <c r="H97" i="4" s="1"/>
  <c r="Q51" i="4"/>
  <c r="Q67" i="4" s="1"/>
  <c r="G15" i="5" l="1"/>
  <c r="C16" i="5" s="1"/>
  <c r="D16" i="5" s="1"/>
  <c r="E16" i="5" s="1"/>
  <c r="G16" i="5" s="1"/>
  <c r="C17" i="5" s="1"/>
  <c r="I106" i="10"/>
  <c r="G33" i="8"/>
  <c r="D17" i="5" l="1"/>
  <c r="E17" i="5" s="1"/>
  <c r="G17" i="5" s="1"/>
  <c r="C18" i="5" s="1"/>
  <c r="H33" i="8"/>
  <c r="D18" i="5" l="1"/>
  <c r="E18" i="5" s="1"/>
  <c r="G18" i="5" s="1"/>
  <c r="C19" i="5" s="1"/>
  <c r="D19" i="5" l="1"/>
  <c r="E19" i="5" s="1"/>
  <c r="G19" i="5" s="1"/>
  <c r="C20" i="5" s="1"/>
  <c r="D20" i="5" l="1"/>
  <c r="E20" i="5" s="1"/>
  <c r="G20" i="5" s="1"/>
  <c r="C21" i="5" s="1"/>
  <c r="D21" i="5" l="1"/>
  <c r="E21" i="5" l="1"/>
  <c r="C26" i="9"/>
  <c r="C25" i="9" l="1"/>
  <c r="G21" i="5"/>
  <c r="C109" i="10"/>
  <c r="C110" i="10" s="1"/>
  <c r="C111" i="10" s="1"/>
  <c r="B47" i="7"/>
  <c r="B49" i="7" s="1"/>
  <c r="C113" i="10" l="1"/>
  <c r="C115" i="10" s="1"/>
  <c r="C22" i="5"/>
  <c r="B28" i="8"/>
  <c r="B31" i="8" s="1"/>
  <c r="J40" i="7"/>
  <c r="J42" i="7" s="1"/>
  <c r="B95" i="4"/>
  <c r="B98" i="4" s="1"/>
  <c r="B99" i="4" s="1"/>
  <c r="B50" i="7" s="1"/>
  <c r="C29" i="9" s="1"/>
  <c r="C30" i="9" s="1"/>
  <c r="C31" i="9" s="1"/>
  <c r="C33" i="9" s="1"/>
  <c r="B51" i="7" l="1"/>
  <c r="B53" i="7" s="1"/>
  <c r="D32" i="9"/>
  <c r="B8" i="8"/>
  <c r="B11" i="8" s="1"/>
  <c r="B20" i="8" s="1"/>
  <c r="D22" i="5"/>
  <c r="C77" i="10" l="1"/>
  <c r="D9" i="10"/>
  <c r="D14" i="10" s="1"/>
  <c r="D15" i="10" s="1"/>
  <c r="D92" i="10"/>
  <c r="D95" i="10" s="1"/>
  <c r="D96" i="10" s="1"/>
  <c r="C58" i="10"/>
  <c r="C63" i="10" s="1"/>
  <c r="C67" i="10" s="1"/>
  <c r="E22" i="5"/>
  <c r="B37" i="8"/>
  <c r="B39" i="8" s="1"/>
  <c r="G22" i="5" l="1"/>
  <c r="C23" i="5" s="1"/>
  <c r="C36" i="8"/>
  <c r="B41" i="8"/>
  <c r="B43" i="8" s="1"/>
  <c r="B46" i="8" s="1"/>
  <c r="D23" i="5" l="1"/>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D25" i="9" l="1"/>
  <c r="G33" i="5"/>
  <c r="D109" i="10"/>
  <c r="D110" i="10" s="1"/>
  <c r="D111" i="10" s="1"/>
  <c r="C47" i="7"/>
  <c r="C49" i="7" s="1"/>
  <c r="D113" i="10" l="1"/>
  <c r="D115" i="10" s="1"/>
  <c r="C34" i="5"/>
  <c r="C28" i="8"/>
  <c r="C31" i="8" s="1"/>
  <c r="C95" i="4"/>
  <c r="C98" i="4" s="1"/>
  <c r="C99" i="4" s="1"/>
  <c r="C50" i="7" s="1"/>
  <c r="D29" i="9" s="1"/>
  <c r="D30" i="9" s="1"/>
  <c r="D31" i="9" s="1"/>
  <c r="D33" i="9" s="1"/>
  <c r="E32" i="9" l="1"/>
  <c r="C8" i="8"/>
  <c r="C11" i="8" s="1"/>
  <c r="C20" i="8" s="1"/>
  <c r="C51" i="7"/>
  <c r="D34" i="5"/>
  <c r="E34" i="5" l="1"/>
  <c r="D58" i="10"/>
  <c r="D63" i="10" s="1"/>
  <c r="D67" i="10" s="1"/>
  <c r="E92" i="10"/>
  <c r="E95" i="10" s="1"/>
  <c r="E96" i="10" s="1"/>
  <c r="D77" i="10"/>
  <c r="E9" i="10"/>
  <c r="E14" i="10" s="1"/>
  <c r="C37" i="8"/>
  <c r="C39" i="8" s="1"/>
  <c r="C53" i="7"/>
  <c r="E15" i="10" l="1"/>
  <c r="D36" i="8"/>
  <c r="C41" i="8"/>
  <c r="C43" i="8" s="1"/>
  <c r="C46" i="8" s="1"/>
  <c r="G34" i="5"/>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E25" i="9" l="1"/>
  <c r="G45" i="5"/>
  <c r="E109" i="10"/>
  <c r="E110" i="10" s="1"/>
  <c r="E111" i="10" s="1"/>
  <c r="D47" i="7"/>
  <c r="D49" i="7" s="1"/>
  <c r="E113" i="10" l="1"/>
  <c r="E115" i="10" s="1"/>
  <c r="C46" i="5"/>
  <c r="D28" i="8"/>
  <c r="D31" i="8" s="1"/>
  <c r="D95" i="4"/>
  <c r="D98" i="4" s="1"/>
  <c r="D99" i="4" s="1"/>
  <c r="D50" i="7" s="1"/>
  <c r="E29" i="9" s="1"/>
  <c r="E30" i="9" s="1"/>
  <c r="E31" i="9" s="1"/>
  <c r="E33" i="9" s="1"/>
  <c r="D51" i="7" l="1"/>
  <c r="F32" i="9"/>
  <c r="D8" i="8"/>
  <c r="D11" i="8" s="1"/>
  <c r="D20" i="8" s="1"/>
  <c r="D46" i="5"/>
  <c r="E46" i="5" l="1"/>
  <c r="F92" i="10"/>
  <c r="F95" i="10" s="1"/>
  <c r="F96" i="10" s="1"/>
  <c r="E77" i="10"/>
  <c r="F9" i="10"/>
  <c r="F14" i="10" s="1"/>
  <c r="E58" i="10"/>
  <c r="E63" i="10" s="1"/>
  <c r="E67" i="10" s="1"/>
  <c r="D37" i="8"/>
  <c r="D39" i="8" s="1"/>
  <c r="D53" i="7"/>
  <c r="F15" i="10" l="1"/>
  <c r="G46" i="5"/>
  <c r="C47" i="5" s="1"/>
  <c r="E36" i="8"/>
  <c r="D41" i="8"/>
  <c r="D43" i="8" s="1"/>
  <c r="D46" i="8"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F25" i="9" l="1"/>
  <c r="G57" i="5"/>
  <c r="F109" i="10"/>
  <c r="F110" i="10" s="1"/>
  <c r="F111" i="10" s="1"/>
  <c r="E47" i="7"/>
  <c r="E49" i="7" s="1"/>
  <c r="E28" i="8" l="1"/>
  <c r="E31" i="8" s="1"/>
  <c r="C58" i="5"/>
  <c r="F113" i="10"/>
  <c r="F115" i="10" s="1"/>
  <c r="E95" i="4"/>
  <c r="E98" i="4" s="1"/>
  <c r="E99" i="4" s="1"/>
  <c r="E50" i="7" s="1"/>
  <c r="F29" i="9" s="1"/>
  <c r="F30" i="9" s="1"/>
  <c r="F31" i="9" s="1"/>
  <c r="F33" i="9" s="1"/>
  <c r="E8" i="8" l="1"/>
  <c r="E11" i="8" s="1"/>
  <c r="E20" i="8" s="1"/>
  <c r="G32" i="9"/>
  <c r="D58" i="5"/>
  <c r="E51" i="7"/>
  <c r="E58" i="5" l="1"/>
  <c r="G9" i="10"/>
  <c r="G14" i="10" s="1"/>
  <c r="F58" i="10"/>
  <c r="F63" i="10" s="1"/>
  <c r="F67" i="10" s="1"/>
  <c r="G92" i="10"/>
  <c r="G95" i="10" s="1"/>
  <c r="G96" i="10" s="1"/>
  <c r="E37" i="8"/>
  <c r="E39" i="8" s="1"/>
  <c r="F77" i="10"/>
  <c r="E53" i="7"/>
  <c r="F36" i="8" l="1"/>
  <c r="E41" i="8"/>
  <c r="E43" i="8" s="1"/>
  <c r="E46" i="8" s="1"/>
  <c r="G15" i="10"/>
  <c r="G58" i="5"/>
  <c r="C59" i="5" s="1"/>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G25" i="9" l="1"/>
  <c r="G69" i="5"/>
  <c r="G109" i="10"/>
  <c r="G110" i="10" s="1"/>
  <c r="G111" i="10" s="1"/>
  <c r="F47" i="7"/>
  <c r="F49" i="7" s="1"/>
  <c r="G113" i="10" l="1"/>
  <c r="G115" i="10" s="1"/>
  <c r="C70" i="5"/>
  <c r="F28" i="8"/>
  <c r="F31" i="8" s="1"/>
  <c r="F95" i="4"/>
  <c r="F98" i="4" s="1"/>
  <c r="F99" i="4" s="1"/>
  <c r="F50" i="7" s="1"/>
  <c r="G29" i="9" s="1"/>
  <c r="G30" i="9" s="1"/>
  <c r="G31" i="9" s="1"/>
  <c r="G33" i="9" s="1"/>
  <c r="H32" i="9" l="1"/>
  <c r="F8" i="8"/>
  <c r="F11" i="8" s="1"/>
  <c r="F20" i="8" s="1"/>
  <c r="F51" i="7"/>
  <c r="D70" i="5"/>
  <c r="E70" i="5" l="1"/>
  <c r="H92" i="10"/>
  <c r="H95" i="10" s="1"/>
  <c r="G77" i="10"/>
  <c r="H9" i="10"/>
  <c r="H14" i="10" s="1"/>
  <c r="G58" i="10"/>
  <c r="G63" i="10" s="1"/>
  <c r="G67" i="10" s="1"/>
  <c r="F37" i="8"/>
  <c r="F39" i="8" s="1"/>
  <c r="F53" i="7"/>
  <c r="H15" i="10" l="1"/>
  <c r="G70" i="5"/>
  <c r="C71" i="5" s="1"/>
  <c r="G36" i="8"/>
  <c r="F41" i="8"/>
  <c r="F43" i="8" s="1"/>
  <c r="F46" i="8" s="1"/>
  <c r="H96" i="10"/>
  <c r="D98" i="10"/>
  <c r="D32" i="2"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H25" i="9" l="1"/>
  <c r="G81" i="5"/>
  <c r="H109" i="10"/>
  <c r="H110" i="10" s="1"/>
  <c r="H111" i="10" s="1"/>
  <c r="G47" i="7"/>
  <c r="G49" i="7" s="1"/>
  <c r="H113" i="10" l="1"/>
  <c r="H115" i="10" s="1"/>
  <c r="C82" i="5"/>
  <c r="G28" i="8"/>
  <c r="G31" i="8" s="1"/>
  <c r="G95" i="4"/>
  <c r="G98" i="4" s="1"/>
  <c r="G99" i="4" s="1"/>
  <c r="G50" i="7" s="1"/>
  <c r="H29" i="9" s="1"/>
  <c r="H30" i="9" s="1"/>
  <c r="H31" i="9" s="1"/>
  <c r="H33" i="9" s="1"/>
  <c r="G8" i="8" l="1"/>
  <c r="G11" i="8" s="1"/>
  <c r="G20" i="8" s="1"/>
  <c r="I32" i="9"/>
  <c r="D82" i="5"/>
  <c r="G51" i="7"/>
  <c r="H58" i="10" l="1"/>
  <c r="H63" i="10" s="1"/>
  <c r="H67" i="10" s="1"/>
  <c r="I92" i="10"/>
  <c r="I95" i="10" s="1"/>
  <c r="H77" i="10"/>
  <c r="I9" i="10"/>
  <c r="I14" i="10" s="1"/>
  <c r="G37" i="8"/>
  <c r="G39" i="8" s="1"/>
  <c r="G53" i="7"/>
  <c r="E82" i="5"/>
  <c r="H36" i="8" l="1"/>
  <c r="G41" i="8"/>
  <c r="G43" i="8" s="1"/>
  <c r="G46" i="8" s="1"/>
  <c r="G82" i="5"/>
  <c r="C83" i="5" s="1"/>
  <c r="I15" i="10"/>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E94" i="5" l="1"/>
  <c r="I25" i="9"/>
  <c r="G93" i="5"/>
  <c r="I109" i="10"/>
  <c r="I110" i="10" s="1"/>
  <c r="I111" i="10" s="1"/>
  <c r="H47" i="7"/>
  <c r="H49" i="7" s="1"/>
  <c r="H95" i="4" l="1"/>
  <c r="H98" i="4" s="1"/>
  <c r="H99" i="4" s="1"/>
  <c r="H50" i="7" s="1"/>
  <c r="I29" i="9" s="1"/>
  <c r="I30" i="9" s="1"/>
  <c r="I31" i="9" s="1"/>
  <c r="I33" i="9" s="1"/>
  <c r="H8" i="8" s="1"/>
  <c r="H11" i="8" s="1"/>
  <c r="H20" i="8" s="1"/>
  <c r="I113" i="10"/>
  <c r="I115" i="10" s="1"/>
  <c r="H51" i="7" l="1"/>
  <c r="H37" i="8" s="1"/>
  <c r="H39" i="8" s="1"/>
  <c r="H41" i="8" s="1"/>
  <c r="H43" i="8" s="1"/>
  <c r="H46" i="8" s="1"/>
  <c r="C117" i="10" l="1"/>
  <c r="D33" i="2" s="1"/>
  <c r="J9" i="10"/>
  <c r="J14" i="10" s="1"/>
  <c r="J15" i="10" s="1"/>
  <c r="C16" i="10" s="1"/>
  <c r="I58" i="10"/>
  <c r="I63" i="10" s="1"/>
  <c r="I67" i="10" s="1"/>
  <c r="C68" i="10" s="1"/>
  <c r="C70" i="10" s="1"/>
  <c r="D31" i="2" s="1"/>
  <c r="I77" i="10"/>
  <c r="C79" i="10" s="1"/>
  <c r="C82" i="10" s="1"/>
  <c r="D29" i="2" s="1"/>
  <c r="J92" i="10"/>
  <c r="J95" i="10" s="1"/>
  <c r="H53" i="7"/>
  <c r="D18" i="10" l="1"/>
  <c r="D30" i="2"/>
  <c r="E18" i="10" l="1"/>
  <c r="D19" i="10"/>
  <c r="F18" i="10" l="1"/>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<sst xmlns="http://schemas.openxmlformats.org/spreadsheetml/2006/main" count="1496" uniqueCount="777">
  <si>
    <t>Note for users</t>
  </si>
  <si>
    <t xml:space="preserve">Draft Business Plan Financial Calculator </t>
  </si>
  <si>
    <t xml:space="preserve">1.0 About the calculator </t>
  </si>
  <si>
    <r>
      <rPr>
        <sz val="11"/>
        <color rgb="FF000000"/>
        <rFont val="Calibri"/>
      </rP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color rgb="FF000000"/>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</si>
  <si>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2.0 Features </t>
  </si>
  <si>
    <r>
      <rPr>
        <sz val="11"/>
        <color rgb="FF000000"/>
        <rFont val="Calibri"/>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</si>
  <si>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</si>
  <si>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</si>
  <si>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</si>
  <si>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</si>
  <si>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</si>
  <si>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</si>
  <si>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</si>
  <si>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</si>
  <si>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</si>
  <si>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</si>
  <si>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</si>
  <si>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</si>
  <si>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</si>
  <si>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</si>
  <si>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</si>
  <si>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</si>
  <si>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</si>
  <si>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</si>
  <si>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</si>
  <si>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</si>
  <si>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</si>
  <si>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</si>
  <si>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</si>
  <si>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</si>
  <si>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</si>
  <si>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</si>
  <si>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</si>
  <si>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</si>
  <si>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</si>
  <si>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</si>
  <si>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</si>
  <si>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</si>
  <si>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</si>
  <si>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</si>
  <si>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</si>
  <si>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</si>
  <si>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</si>
  <si>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</si>
  <si>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</si>
  <si>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</si>
  <si>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</si>
  <si>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</si>
  <si>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</si>
  <si>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</si>
  <si>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</si>
  <si>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</si>
  <si>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</si>
  <si>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</si>
  <si>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</si>
  <si>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</si>
  <si>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</si>
  <si>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</si>
  <si>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</si>
  <si>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</si>
  <si>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</si>
  <si>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</si>
  <si>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</si>
  <si>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</si>
  <si>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</si>
  <si>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</si>
  <si>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</si>
  <si>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</si>
  <si>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</si>
  <si>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</si>
  <si>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</si>
  <si>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</si>
  <si>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</si>
  <si>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</si>
  <si>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</si>
  <si>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</si>
  <si>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</si>
  <si>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</si>
  <si>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</si>
  <si>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</si>
  <si>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</si>
  <si>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</si>
  <si>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</si>
  <si>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</si>
  <si>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</si>
  <si>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</si>
  <si>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</si>
  <si>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</si>
  <si>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</si>
  <si>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</si>
  <si>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</si>
  <si>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</si>
  <si>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</si>
  <si>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</si>
  <si>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</si>
  <si>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</si>
  <si>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</si>
  <si>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</si>
  <si>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</si>
  <si>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</si>
  <si>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</si>
  <si>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</si>
  <si>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</si>
  <si>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</si>
  <si>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</si>
  <si>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</si>
  <si>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</si>
  <si>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</si>
  <si>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</si>
  <si>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</si>
  <si>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</si>
  <si>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</si>
  <si>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</si>
  <si>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</si>
  <si>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</si>
  <si>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</si>
  <si>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</si>
  <si>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</si>
  <si>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</si>
  <si>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</si>
  <si>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</si>
  <si>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</si>
  <si>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</si>
  <si>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</si>
  <si>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</si>
  <si>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</si>
  <si>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</si>
  <si>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</si>
  <si>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</si>
  <si>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</si>
  <si>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</si>
  <si>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</si>
  <si>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</si>
  <si>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</si>
  <si>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</si>
  <si>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Dal Mill Unit</t>
  </si>
  <si>
    <t>C</t>
  </si>
  <si>
    <t>Cleaning &amp; Grading</t>
  </si>
  <si>
    <t>D</t>
  </si>
  <si>
    <t>F &amp; V Processing Machainary</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</si>
  <si>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</si>
  <si>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</si>
  <si>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</si>
  <si>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</si>
  <si>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</si>
  <si>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</si>
  <si>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</si>
  <si>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</si>
  <si>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</si>
  <si>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</si>
  <si>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</si>
  <si>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</si>
  <si>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</si>
  <si>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</si>
  <si>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</si>
  <si>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</si>
  <si>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</si>
  <si>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</si>
  <si>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</si>
  <si>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</si>
  <si>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 xml:space="preserve"> Manager</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</si>
  <si>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</si>
  <si>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</si>
  <si>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</si>
  <si>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</si>
  <si>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</si>
  <si>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</si>
  <si>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</si>
  <si>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</si>
  <si>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</si>
  <si>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</si>
  <si>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</si>
  <si>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</si>
  <si>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</si>
  <si>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</si>
  <si>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</si>
  <si>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</si>
  <si>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</si>
  <si>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</si>
  <si>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</si>
  <si>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</si>
  <si>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</si>
  <si>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</si>
  <si>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</si>
  <si>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</si>
  <si>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</si>
  <si>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</si>
  <si>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</si>
  <si>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</si>
  <si>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</si>
  <si>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</si>
  <si>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</si>
  <si>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</si>
  <si>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</si>
  <si>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</si>
  <si>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</si>
  <si>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</si>
  <si>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</si>
  <si>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</si>
  <si>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</si>
  <si>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</si>
  <si>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</si>
  <si>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</si>
  <si>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</si>
  <si>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</si>
  <si>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</si>
  <si>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</si>
  <si>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</si>
  <si>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</si>
  <si>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</si>
  <si>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</si>
  <si>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</si>
  <si>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</si>
  <si>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</si>
  <si>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</si>
  <si>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</si>
  <si>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</si>
  <si>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</si>
  <si>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</si>
  <si>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</si>
  <si>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</si>
  <si>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</si>
  <si>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</si>
  <si>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</si>
  <si>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</si>
  <si>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</si>
  <si>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</si>
  <si>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</si>
  <si>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</si>
  <si>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</si>
  <si>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</si>
  <si>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</si>
  <si>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</si>
  <si>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</si>
  <si>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</si>
  <si>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</si>
  <si>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</si>
  <si>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</si>
  <si>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</si>
  <si>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</si>
  <si>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</si>
  <si>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</si>
  <si>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</si>
  <si>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</si>
  <si>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</si>
  <si>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</si>
  <si>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</si>
  <si>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</si>
  <si>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</si>
  <si>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</si>
  <si>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</si>
  <si>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</si>
  <si>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</si>
  <si>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</si>
  <si>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</si>
  <si>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</si>
  <si>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</si>
  <si>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</si>
  <si>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</si>
  <si>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</si>
  <si>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</si>
  <si>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</si>
  <si>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</si>
  <si>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</si>
  <si>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</si>
  <si>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</si>
  <si>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</si>
  <si>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</si>
  <si>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</si>
  <si>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</si>
  <si>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</si>
  <si>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</si>
  <si>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</si>
  <si>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</si>
  <si>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</si>
  <si>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</si>
  <si>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</si>
  <si>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</si>
  <si>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</si>
  <si>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</si>
  <si>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</si>
  <si>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</si>
  <si>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</si>
  <si>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</si>
  <si>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</si>
  <si>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</si>
  <si>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</si>
  <si>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</si>
  <si>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</si>
  <si>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</si>
  <si>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</si>
  <si>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</si>
  <si>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</si>
  <si>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</si>
  <si>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</si>
  <si>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</si>
  <si>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</si>
  <si>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</si>
  <si>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</si>
  <si>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</si>
  <si>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</si>
  <si>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</si>
  <si>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</si>
  <si>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</si>
  <si>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</si>
  <si>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</si>
  <si>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</si>
  <si>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</si>
  <si>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</si>
  <si>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</si>
  <si>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</si>
  <si>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</si>
  <si>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</si>
  <si>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</si>
  <si>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</si>
  <si>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</si>
  <si>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</si>
  <si>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</si>
  <si>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</si>
  <si>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</si>
  <si>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</si>
  <si>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</si>
  <si>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</si>
  <si>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</si>
  <si>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</si>
  <si>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</si>
  <si>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</si>
  <si>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</si>
  <si>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</si>
  <si>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 xml:space="preserve">Grain Processing </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</si>
  <si>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</si>
  <si>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</si>
  <si>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</si>
  <si>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</si>
  <si>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</si>
  <si>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</si>
  <si>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</si>
  <si>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</si>
  <si>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</si>
  <si>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</si>
  <si>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Dal Mill</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</si>
  <si>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</si>
  <si>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</si>
  <si>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</si>
  <si>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</si>
  <si>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</si>
  <si>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</si>
  <si>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</si>
  <si>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</si>
  <si>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</si>
  <si>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</si>
  <si>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1 - Cleaning &amp; Grading</t>
  </si>
  <si>
    <t>Faclitiy 2 - Processing Unit- Dal Mill</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</si>
  <si>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</si>
  <si>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</si>
  <si>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</si>
  <si>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</si>
  <si>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</si>
  <si>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</si>
  <si>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</si>
  <si>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</si>
  <si>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</si>
  <si>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</si>
  <si>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</si>
  <si>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</si>
  <si>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</si>
  <si>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</si>
  <si>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</si>
  <si>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</si>
  <si>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</si>
  <si>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</si>
  <si>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</si>
  <si>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</si>
  <si>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</si>
  <si>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</si>
  <si>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</si>
  <si>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</si>
  <si>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</si>
  <si>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</si>
  <si>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</si>
  <si>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</si>
  <si>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</si>
  <si>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</si>
  <si>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</si>
  <si>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</si>
  <si>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</si>
  <si>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</si>
  <si>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</si>
  <si>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</si>
  <si>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</si>
  <si>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</si>
  <si>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</si>
  <si>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</si>
  <si>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</si>
  <si>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</si>
  <si>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</si>
  <si>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</si>
  <si>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</si>
  <si>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</si>
  <si>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</si>
  <si>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</si>
  <si>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</si>
  <si>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</si>
  <si>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</si>
  <si>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</si>
  <si>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</si>
  <si>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</si>
  <si>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</si>
  <si>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</si>
  <si>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</si>
  <si>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</si>
  <si>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</si>
  <si>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</si>
  <si>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</si>
  <si>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</si>
  <si>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</si>
  <si>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</si>
  <si>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</si>
  <si>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</si>
  <si>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</si>
  <si>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</si>
  <si>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</si>
  <si>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</si>
  <si>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</si>
  <si>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</si>
  <si>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</si>
  <si>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</si>
  <si>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</si>
  <si>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</si>
  <si>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</si>
  <si>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</si>
  <si>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</si>
  <si>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</si>
  <si>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</si>
  <si>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</si>
  <si>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</si>
  <si>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</si>
  <si>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</si>
  <si>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</si>
  <si>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</si>
  <si>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</si>
  <si>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rPr>
      <t>Add</t>
    </r>
    <r>
      <rPr>
        <sz val="11"/>
        <color rgb="FF000000"/>
        <rFont val="Times New Roman"/>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</si>
  <si>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</si>
  <si>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</si>
  <si>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</si>
  <si>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</si>
  <si>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</si>
  <si>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</si>
  <si>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</si>
  <si>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</si>
  <si>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</si>
  <si>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</si>
  <si>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</si>
  <si>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</si>
  <si>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</si>
  <si>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</si>
  <si>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</si>
  <si>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</si>
  <si>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</si>
  <si>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</si>
  <si>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</si>
  <si>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</si>
  <si>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</si>
  <si>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</si>
  <si>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</si>
  <si>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</si>
  <si>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</si>
  <si>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</si>
  <si>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</si>
  <si>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</si>
  <si>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</si>
  <si>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</si>
  <si>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</si>
  <si>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</si>
  <si>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</si>
  <si>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</si>
  <si>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</si>
  <si>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</si>
  <si>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</si>
  <si>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</si>
  <si>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</si>
  <si>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</si>
  <si>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</si>
  <si>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</si>
  <si>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</si>
  <si>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</si>
  <si>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</si>
  <si>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</si>
  <si>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</si>
  <si>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</si>
  <si>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</si>
  <si>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</si>
  <si>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</si>
  <si>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</si>
  <si>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</si>
  <si>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</si>
  <si>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</si>
  <si>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</si>
  <si>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</si>
  <si>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</si>
  <si>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</si>
  <si>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</si>
  <si>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</si>
  <si>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</si>
  <si>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</si>
  <si>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</si>
  <si>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</si>
  <si>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</si>
  <si>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</si>
  <si>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</si>
  <si>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</si>
  <si>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</si>
  <si>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</si>
  <si>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</si>
  <si>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</si>
  <si>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</si>
  <si>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</si>
  <si>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</si>
  <si>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</si>
  <si>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</si>
  <si>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</si>
  <si>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</si>
  <si>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</si>
  <si>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</si>
  <si>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</si>
  <si>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</si>
  <si>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</si>
  <si>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</si>
  <si>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</si>
  <si>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</si>
  <si>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</si>
  <si>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</si>
  <si>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</si>
  <si>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</si>
  <si>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</si>
  <si>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</si>
  <si>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</si>
  <si>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</si>
  <si>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</si>
  <si>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</si>
  <si>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</si>
  <si>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</si>
  <si>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</si>
  <si>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</si>
  <si>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</si>
  <si>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</si>
  <si>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</si>
  <si>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</si>
  <si>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</si>
  <si>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</si>
  <si>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</si>
  <si>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</si>
  <si>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</si>
  <si>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</si>
  <si>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</si>
  <si>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</si>
  <si>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</si>
  <si>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</si>
  <si>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</si>
  <si>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</si>
  <si>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</si>
  <si>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</si>
  <si>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</si>
  <si>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</si>
  <si>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</si>
  <si>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</si>
  <si>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</si>
  <si>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</si>
  <si>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</si>
  <si>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</si>
  <si>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</si>
  <si>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</si>
  <si>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</si>
  <si>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</si>
  <si>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</si>
  <si>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</si>
  <si>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</si>
  <si>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</si>
  <si>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</si>
  <si>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</si>
  <si>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</si>
  <si>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</si>
  <si>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</si>
  <si>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</si>
  <si>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</si>
  <si>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</si>
  <si>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</si>
  <si>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</si>
  <si>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</si>
  <si>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</si>
  <si>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</si>
  <si>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</si>
  <si>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</si>
  <si>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</si>
  <si>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</si>
  <si>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</si>
  <si>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</si>
  <si>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</si>
  <si>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</si>
  <si>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</si>
  <si>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</si>
  <si>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</si>
  <si>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</si>
  <si>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</si>
  <si>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</si>
  <si>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Facility 2 - Grain Processing Unit - Dal Mill</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</si>
  <si>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</si>
  <si>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</si>
  <si>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</si>
  <si>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</si>
  <si>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</si>
  <si>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</si>
  <si>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</si>
  <si>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</si>
  <si>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</si>
  <si>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</si>
  <si>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Pulses</t>
  </si>
  <si>
    <t xml:space="preserve">Black Gram </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</si>
  <si>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</si>
  <si>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</si>
  <si>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</si>
  <si>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</si>
  <si>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</si>
  <si>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</si>
  <si>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</si>
  <si>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</si>
  <si>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</si>
  <si>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</si>
  <si>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</si>
  <si>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</si>
  <si>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</si>
  <si>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</si>
  <si>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</si>
  <si>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</si>
  <si>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</si>
  <si>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</si>
  <si>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</si>
  <si>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</si>
  <si>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</si>
  <si>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</si>
  <si>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</si>
  <si>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</si>
  <si>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</si>
  <si>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</si>
  <si>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</si>
  <si>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</si>
  <si>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</si>
  <si>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</si>
  <si>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</si>
  <si>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</si>
  <si>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</si>
  <si>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</si>
  <si>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</si>
  <si>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</si>
  <si>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</si>
  <si>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</si>
  <si>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</si>
  <si>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</si>
  <si>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</si>
  <si>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</si>
  <si>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</si>
  <si>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</si>
  <si>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</si>
  <si>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</si>
  <si>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</si>
  <si>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</si>
  <si>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</si>
  <si>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</si>
  <si>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</si>
  <si>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</si>
  <si>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</si>
  <si>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</si>
  <si>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</si>
  <si>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</si>
  <si>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</si>
  <si>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</si>
  <si>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</si>
  <si>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</si>
  <si>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</si>
  <si>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</si>
  <si>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</si>
  <si>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</si>
  <si>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</si>
  <si>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</si>
  <si>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</si>
  <si>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</si>
  <si>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</si>
  <si>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</si>
  <si>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</si>
  <si>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</si>
  <si>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</si>
  <si>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</si>
  <si>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</si>
  <si>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</si>
  <si>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</si>
  <si>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</si>
  <si>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</si>
  <si>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</si>
  <si>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</si>
  <si>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</si>
  <si>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</si>
  <si>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</si>
  <si>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</si>
  <si>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</si>
  <si>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</si>
  <si>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</si>
  <si>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</si>
  <si>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</si>
  <si>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computer and Pritner</t>
  </si>
  <si>
    <t>Furniture</t>
  </si>
  <si>
    <t>Dal (70%)</t>
  </si>
  <si>
    <t>Project fees</t>
  </si>
  <si>
    <t>+</t>
  </si>
  <si>
    <t>70% of total produce of the cluster will be trade in first year and it will increase by 5 % in second year and then will be 20% after everyyear</t>
  </si>
  <si>
    <t>35% of total produce of the cluster will be Processfrom third year and then 80% of cluster will be producer from fourth year onwards</t>
  </si>
  <si>
    <t xml:space="preserve">100% of total land of members is considered for Agri input service centre business </t>
  </si>
  <si>
    <t>Dal (75%)</t>
  </si>
  <si>
    <t>Red Gram/Tur USAGE RATES</t>
  </si>
  <si>
    <t>CHANA GRAM USAGE RATES</t>
  </si>
  <si>
    <t xml:space="preserve">Job Work </t>
  </si>
  <si>
    <t>/Sqm</t>
  </si>
  <si>
    <t>Steel</t>
  </si>
  <si>
    <r>
      <rPr>
        <b/>
        <sz val="11"/>
        <rFont val="Arial"/>
        <family val="2"/>
      </rPr>
      <t xml:space="preserve">Name of work :- Proposed Construction of Dal mill at Sindhi  for Shrikrushna Farmers Producer Comp
</t>
    </r>
    <r>
      <rPr>
        <b/>
        <sz val="11"/>
        <rFont val="Arial"/>
        <family val="2"/>
      </rPr>
      <t>Taluka -  Kalmeshwer , District  - Nagpur.</t>
    </r>
  </si>
  <si>
    <r>
      <rPr>
        <b/>
        <sz val="12"/>
        <rFont val="Arial"/>
        <family val="2"/>
      </rPr>
      <t>RATE  ANALYSIS</t>
    </r>
  </si>
  <si>
    <r>
      <rPr>
        <sz val="8"/>
        <rFont val="Arial MT"/>
        <family val="2"/>
      </rPr>
      <t>Sr.</t>
    </r>
  </si>
  <si>
    <r>
      <rPr>
        <sz val="8"/>
        <rFont val="Arial MT"/>
        <family val="2"/>
      </rPr>
      <t>Item of work</t>
    </r>
  </si>
  <si>
    <r>
      <rPr>
        <sz val="8"/>
        <rFont val="Arial MT"/>
        <family val="2"/>
      </rPr>
      <t>C.S.R. I.</t>
    </r>
  </si>
  <si>
    <r>
      <rPr>
        <sz val="8"/>
        <rFont val="Arial MT"/>
        <family val="2"/>
      </rPr>
      <t>Page</t>
    </r>
  </si>
  <si>
    <r>
      <rPr>
        <sz val="8"/>
        <rFont val="Arial MT"/>
        <family val="2"/>
      </rPr>
      <t>C.S.R.</t>
    </r>
  </si>
  <si>
    <r>
      <rPr>
        <sz val="6"/>
        <rFont val="Arial MT"/>
        <family val="2"/>
      </rPr>
      <t xml:space="preserve">Deduct for SCADA &amp;
</t>
    </r>
    <r>
      <rPr>
        <sz val="6"/>
        <rFont val="Arial MT"/>
        <family val="2"/>
      </rPr>
      <t>Reversible drum type mixer</t>
    </r>
  </si>
  <si>
    <r>
      <rPr>
        <sz val="8"/>
        <rFont val="Arial MT"/>
        <family val="2"/>
      </rPr>
      <t>Deduct for Royalty of sand</t>
    </r>
  </si>
  <si>
    <r>
      <rPr>
        <sz val="8"/>
        <rFont val="Arial MT"/>
        <family val="2"/>
      </rPr>
      <t>Net rate</t>
    </r>
  </si>
  <si>
    <r>
      <rPr>
        <sz val="8"/>
        <rFont val="Arial MT"/>
        <family val="2"/>
      </rPr>
      <t>Unit</t>
    </r>
  </si>
  <si>
    <r>
      <rPr>
        <sz val="8"/>
        <rFont val="Arial MT"/>
        <family val="2"/>
      </rPr>
      <t>No.</t>
    </r>
  </si>
  <si>
    <r>
      <rPr>
        <sz val="8"/>
        <rFont val="Arial MT"/>
        <family val="2"/>
      </rPr>
      <t>Rate</t>
    </r>
  </si>
  <si>
    <r>
      <rPr>
        <sz val="8"/>
        <rFont val="Arial MT"/>
        <family val="2"/>
      </rPr>
      <t>Material</t>
    </r>
  </si>
  <si>
    <r>
      <rPr>
        <sz val="8"/>
        <rFont val="Arial MT"/>
        <family val="2"/>
      </rPr>
      <t>Per Cum</t>
    </r>
  </si>
  <si>
    <r>
      <rPr>
        <sz val="8"/>
        <rFont val="Arial MT"/>
        <family val="2"/>
      </rPr>
      <t>Excavation for foundation in earth, soil of all types, sand, gravel and soft murum, including removing the excavated material up to a distance of 50 m. beyond the building area and stacking and</t>
    </r>
  </si>
  <si>
    <r>
      <rPr>
        <sz val="8"/>
        <rFont val="Arial MT"/>
        <family val="2"/>
      </rPr>
      <t>/Cum</t>
    </r>
  </si>
  <si>
    <r>
      <rPr>
        <b/>
        <sz val="8"/>
        <rFont val="Arial"/>
        <family val="2"/>
      </rPr>
      <t>Up to 1.50 m Height</t>
    </r>
  </si>
  <si>
    <r>
      <rPr>
        <sz val="8"/>
        <rFont val="Arial MT"/>
        <family val="2"/>
      </rPr>
      <t xml:space="preserve">Excavation for foundation in earth, soils of all types, sand,gravel and soft murum, including removing the
</t>
    </r>
    <r>
      <rPr>
        <sz val="8"/>
        <rFont val="Arial MT"/>
        <family val="2"/>
      </rPr>
      <t>excavated material upto a distance of 50 metres beyond the</t>
    </r>
  </si>
  <si>
    <r>
      <rPr>
        <b/>
        <sz val="8"/>
        <rFont val="Arial"/>
        <family val="2"/>
      </rPr>
      <t>1.50 m to 3.00 m  Height</t>
    </r>
  </si>
  <si>
    <r>
      <rPr>
        <sz val="8"/>
        <rFont val="Arial MT"/>
        <family val="2"/>
      </rPr>
      <t>Transportation of material obtained from debris of various sorts including necessary excavation/ loosing including loading, unloading and conveying and disposing as directed. Lead 1.00 Km</t>
    </r>
  </si>
  <si>
    <r>
      <rPr>
        <sz val="8"/>
        <rFont val="Arial MT"/>
        <family val="2"/>
      </rPr>
      <t>Rate as per transportation rate</t>
    </r>
  </si>
  <si>
    <r>
      <rPr>
        <b/>
        <sz val="8"/>
        <rFont val="Arial"/>
        <family val="2"/>
      </rPr>
      <t>S.S.R. I. No. CSR based item</t>
    </r>
  </si>
  <si>
    <r>
      <rPr>
        <sz val="8"/>
        <rFont val="Arial MT"/>
        <family val="2"/>
      </rPr>
      <t>Providing preconstructional antitermite treatment as per I .S. 6313 (Part-II) treatment by treating the backfill in immediate contact with foundation at the rate of 5 litres of emulsion</t>
    </r>
  </si>
  <si>
    <r>
      <rPr>
        <sz val="8"/>
        <rFont val="Arial MT"/>
        <family val="2"/>
      </rPr>
      <t>/Sqm</t>
    </r>
  </si>
  <si>
    <r>
      <rPr>
        <sz val="8"/>
        <rFont val="Arial MT"/>
        <family val="2"/>
      </rPr>
      <t>Providing preconstructional antitermite treatment as per I .S. 6313 (Part-II) by treating the top surface of plinth filling at the rate of  5 litres of emulsion concentrate at 1.0 percent of  clorophyrifos  per</t>
    </r>
  </si>
  <si>
    <r>
      <rPr>
        <sz val="8"/>
        <rFont val="Arial MT"/>
        <family val="2"/>
      </rPr>
      <t>Providing preconstructional antitermite treatment as per I .S.6313 (Part-I) to the soil along the external face of building bypunching holes of 1.2 of 1.5 C.M. diametre about 30 -60 cmdeep at 15 cm</t>
    </r>
  </si>
  <si>
    <r>
      <rPr>
        <sz val="8"/>
        <rFont val="Arial MT"/>
        <family val="2"/>
      </rPr>
      <t>Filling in plinth and floors with contractors  material /brought from outside and approved by Engineer incharge  in layers of 15 cm  to 20 cm   including watering and compaction etc. complete.</t>
    </r>
  </si>
  <si>
    <r>
      <rPr>
        <sz val="8"/>
        <rFont val="Arial MT"/>
        <family val="2"/>
      </rPr>
      <t>Murum</t>
    </r>
  </si>
  <si>
    <r>
      <rPr>
        <sz val="8"/>
        <rFont val="Arial MT"/>
        <family val="2"/>
      </rPr>
      <t>Providing soling using 80 mm size trap metal in 15 cm. layer including filling voids with Crushed sand/grit, ramming, watering etc. complete.</t>
    </r>
  </si>
  <si>
    <r>
      <rPr>
        <sz val="8"/>
        <rFont val="Arial MT"/>
        <family val="2"/>
      </rPr>
      <t>Metal</t>
    </r>
  </si>
  <si>
    <r>
      <rPr>
        <sz val="8"/>
        <rFont val="Arial MT"/>
        <family val="2"/>
      </rPr>
      <t>Sand</t>
    </r>
  </si>
  <si>
    <r>
      <rPr>
        <sz val="8"/>
        <rFont val="Arial MT"/>
        <family val="2"/>
      </rPr>
      <t>Providing and laying Cast in situ/Ready Mix cement concrete in M15 of trap/ granite /quartzite/gneiss metal for bed blocks, foundation blocks and such other items including bailing out</t>
    </r>
  </si>
  <si>
    <r>
      <rPr>
        <sz val="8"/>
        <rFont val="Arial MT"/>
        <family val="2"/>
      </rPr>
      <t>20 mm Metal</t>
    </r>
  </si>
  <si>
    <r>
      <rPr>
        <sz val="8"/>
        <rFont val="Arial MT"/>
        <family val="2"/>
      </rPr>
      <t xml:space="preserve">Providing and laying Cast in situ/Ready Mix cement concrete M- 25 of trap / granite /quartzite/ gneiss metal for R.C.C. work in foundations like raft, strip foundations, grillage and footings of
</t>
    </r>
    <r>
      <rPr>
        <sz val="8"/>
        <rFont val="Arial MT"/>
        <family val="2"/>
      </rPr>
      <t>R.C.C. columns and steel stanchions etc. including bailing out</t>
    </r>
  </si>
  <si>
    <r>
      <rPr>
        <sz val="8"/>
        <rFont val="Arial MT"/>
        <family val="2"/>
      </rPr>
      <t>12/10m m metal</t>
    </r>
  </si>
  <si>
    <r>
      <rPr>
        <sz val="8"/>
        <rFont val="Arial MT"/>
        <family val="2"/>
      </rPr>
      <t>Cement</t>
    </r>
  </si>
  <si>
    <r>
      <rPr>
        <sz val="8"/>
        <rFont val="Arial MT"/>
        <family val="2"/>
      </rPr>
      <t xml:space="preserve">12/10
</t>
    </r>
    <r>
      <rPr>
        <sz val="8"/>
        <rFont val="Arial MT"/>
        <family val="2"/>
      </rPr>
      <t>mm metal</t>
    </r>
  </si>
  <si>
    <r>
      <rPr>
        <sz val="8"/>
        <rFont val="Arial MT"/>
        <family val="2"/>
      </rPr>
      <t>cement</t>
    </r>
  </si>
  <si>
    <r>
      <rPr>
        <sz val="8"/>
        <rFont val="Arial MT"/>
        <family val="2"/>
      </rPr>
      <t xml:space="preserve">Providing and laying in situ /Ready Mix cement concrete M-20 of trap / granite /quartzite/ gneiss metal for R.C.C. work in foundations like raft, strip foundations, grillage and
</t>
    </r>
    <r>
      <rPr>
        <sz val="8"/>
        <rFont val="Arial MT"/>
        <family val="2"/>
      </rPr>
      <t>footings of R.C.C. columns and steel stanchions etc. including</t>
    </r>
  </si>
  <si>
    <r>
      <rPr>
        <sz val="8"/>
        <rFont val="Arial MT"/>
        <family val="2"/>
      </rPr>
      <t>Rate for M 20</t>
    </r>
  </si>
  <si>
    <r>
      <rPr>
        <sz val="8"/>
        <rFont val="Arial MT"/>
        <family val="2"/>
      </rPr>
      <t xml:space="preserve">Providing and laying Cast in situ/Ready Mix cement concrete M- 25 of trap / granite /quartzite/ gneiss metal for R.C.C. columns as per detailed designs and drawings or as
</t>
    </r>
    <r>
      <rPr>
        <sz val="8"/>
        <rFont val="Arial MT"/>
        <family val="2"/>
      </rPr>
      <t>directed including steel centering, formwork, cover blocks,</t>
    </r>
  </si>
  <si>
    <r>
      <rPr>
        <b/>
        <sz val="8"/>
        <rFont val="Arial"/>
        <family val="2"/>
      </rPr>
      <t>F. F.  1 % on Basic rate + rate of G. F.</t>
    </r>
  </si>
  <si>
    <r>
      <rPr>
        <sz val="8"/>
        <rFont val="Arial MT"/>
        <family val="2"/>
      </rPr>
      <t xml:space="preserve">Providing and laying Cast in situ/Ready Mix cement concrete in M- 25 of trap/ granite/ quartzite/ gneiss metal for R.C.C. beams and lintels as per detailed designs and drawings or as
</t>
    </r>
    <r>
      <rPr>
        <sz val="8"/>
        <rFont val="Arial MT"/>
        <family val="2"/>
      </rPr>
      <t>directed including steel centering, formwork, cover blocks,</t>
    </r>
  </si>
  <si>
    <r>
      <rPr>
        <sz val="8"/>
        <rFont val="Arial MT"/>
        <family val="2"/>
      </rPr>
      <t xml:space="preserve">20 mm Metal
</t>
    </r>
    <r>
      <rPr>
        <sz val="8"/>
        <rFont val="Arial MT"/>
        <family val="2"/>
      </rPr>
      <t xml:space="preserve">12/10
</t>
    </r>
    <r>
      <rPr>
        <sz val="8"/>
        <rFont val="Arial MT"/>
        <family val="2"/>
      </rPr>
      <t xml:space="preserve">mm metal
</t>
    </r>
    <r>
      <rPr>
        <sz val="8"/>
        <rFont val="Arial MT"/>
        <family val="2"/>
      </rPr>
      <t>Sand cement</t>
    </r>
  </si>
  <si>
    <t>Providing and fixing in position TMT - FE - 500 bar reinforcement of various diameters for R.C.C. pile caps, footings, foundations, slabs, beams columns, canopies, staircase, newels, chajjas, lintels pardis, copings, fins, arches etc. as per detailed designs,</t>
  </si>
  <si>
    <t>/MT</t>
  </si>
  <si>
    <t>Providing fly ash brick masonry with conventional / I.S. type fly ash bricks  in C.M. 1:6 in foundation and plinth including  bailing out water manually striking joints, racking out joints watering and</t>
  </si>
  <si>
    <t>/CUM</t>
  </si>
  <si>
    <t>Bricks sand and cement</t>
  </si>
  <si>
    <t xml:space="preserve">Providing and laying Cast in situ/Ready Mix cement concrete in M- 20 of trap/ granite/ quartzite/ gneiss metal for R.C.C.coping to plinth or parapet and sill of doors and windows </t>
  </si>
  <si>
    <t xml:space="preserve"> Providing fly ash brick masonry with conventional/ I.S. type bricks in cement mortar 1:6 in superstructure including striking joints, raking out joints, watering and scaffolding etc. Complete</t>
  </si>
  <si>
    <t>Providing internal cement plaster 12mm thick in single coat in cement mortar 1:5 with putty finish to concrete or brick surfaces, in all positions including scaffolding and curing etc . complete. &amp;</t>
  </si>
  <si>
    <t>sand cement</t>
  </si>
  <si>
    <t xml:space="preserve">Profit Prop. on Own+ Loan Capital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</si>
</sst>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0.00_);_(* \(#,##0.00\);_(* &quot;-&quot;??_);_(@_)"/>
    <numFmt numFmtId="172" formatCode="_ * #,##0_ ;_ * \-#,##0_ ;_ * &quot;-&quot;??_ ;_ @_ "/>
    <numFmt numFmtId="173" formatCode="_ * #,##0.0_ ;_ * \-#,##0.0_ ;_ * &quot;-&quot;??_ ;_ @_ "/>
    <numFmt numFmtId="174" formatCode="0.0%"/>
  </numFmts>
  <fonts count="73">
    <font>
      <sz val="11"/>
      <color rgb="FF000000"/>
      <name val="Calibri"/>
    </font>
    <font>
      <b/>
      <sz val="24"/>
      <color rgb="FF000000"/>
      <name val="Calibri"/>
    </font>
    <font>
      <sz val="11"/>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b/>
      <sz val="11"/>
      <color rgb="FFFFFFFF"/>
      <name val="Garamond"/>
    </font>
    <font>
      <b/>
      <sz val="11"/>
      <color rgb="FF000000"/>
      <name val="Garamond"/>
    </font>
    <font>
      <b/>
      <sz val="11"/>
      <color rgb="FF202124"/>
      <name val="Garamond"/>
    </font>
    <font>
      <b/>
      <sz val="11"/>
      <name val="Calibri"/>
    </font>
    <font>
      <b/>
      <sz val="14"/>
      <name val="Times New Roman"/>
    </font>
    <font>
      <b/>
      <u/>
      <sz val="11"/>
      <color rgb="FF000000"/>
      <name val="Times New Roman"/>
    </font>
    <font>
      <b/>
      <i/>
      <sz val="11"/>
      <color rgb="FF000000"/>
      <name val="Times New Roman"/>
    </font>
    <font>
      <b/>
      <sz val="11"/>
      <name val="Times New Roman"/>
    </font>
    <font>
      <sz val="11"/>
      <name val="Calibri"/>
    </font>
    <font>
      <b/>
      <u/>
      <sz val="11"/>
      <color rgb="FF0000FF"/>
      <name val="Calibri"/>
    </font>
    <font>
      <sz val="11"/>
      <color rgb="FFFFFFFF"/>
      <name val="Times New Roman"/>
    </font>
    <font>
      <b/>
      <sz val="8"/>
      <color rgb="FF202124"/>
      <name val="Arial"/>
    </font>
    <font>
      <b/>
      <sz val="9"/>
      <name val="Arial"/>
    </font>
    <font>
      <b/>
      <sz val="11"/>
      <color rgb="FF272727"/>
      <name val="Garamond"/>
    </font>
    <font>
      <sz val="10"/>
      <color rgb="FF424142"/>
      <name val="Georgia"/>
    </font>
    <font>
      <i/>
      <sz val="11"/>
      <color rgb="FFFF0000"/>
      <name val="Calibri"/>
    </font>
    <font>
      <b/>
      <sz val="11"/>
      <color rgb="FF003366"/>
      <name val="Times New Roman"/>
    </font>
    <font>
      <b/>
      <u/>
      <sz val="11"/>
      <name val="Times New Roman"/>
    </font>
    <font>
      <sz val="11"/>
      <color rgb="FF008000"/>
      <name val="Times New Roman"/>
    </font>
    <font>
      <b/>
      <u/>
      <sz val="11"/>
      <color rgb="FF993300"/>
      <name val="Times New Roman"/>
    </font>
    <font>
      <sz val="11"/>
      <color rgb="FF993300"/>
      <name val="Times New Roman"/>
    </font>
    <font>
      <b/>
      <sz val="11"/>
      <color rgb="FF993300"/>
      <name val="Times New Roman"/>
    </font>
    <font>
      <b/>
      <sz val="11"/>
      <color rgb="FF222222"/>
      <name val="Garamond"/>
    </font>
    <font>
      <sz val="13"/>
      <color rgb="FF000000"/>
      <name val="Times New Roman"/>
    </font>
    <font>
      <sz val="12"/>
      <color rgb="FFFFFFFF"/>
      <name val="Times New Roman"/>
    </font>
    <font>
      <sz val="12"/>
      <color rgb="FFFF0000"/>
      <name val="Times New Roman"/>
    </font>
    <font>
      <sz val="13"/>
      <name val="Times New Roman"/>
    </font>
    <font>
      <b/>
      <u/>
      <sz val="11"/>
      <color rgb="FF0000FF"/>
      <name val="Garamond"/>
    </font>
    <font>
      <b/>
      <sz val="11"/>
      <color rgb="FF202122"/>
      <name val="Garamond"/>
    </font>
    <font>
      <b/>
      <sz val="12"/>
      <color rgb="FFFFFFFF"/>
      <name val="Times New Roman"/>
    </font>
    <font>
      <sz val="12"/>
      <color rgb="FF000000"/>
      <name val="Times New Roman"/>
    </font>
    <font>
      <sz val="12"/>
      <name val="Times New Roman"/>
    </font>
    <font>
      <b/>
      <sz val="11"/>
      <color rgb="FF111111"/>
      <name val="Garamond"/>
    </font>
    <font>
      <b/>
      <sz val="11"/>
      <color rgb="FFFFFFFF"/>
      <name val="Calibri"/>
    </font>
    <font>
      <sz val="11"/>
      <color rgb="FFFFFFFF"/>
      <name val="Calibri"/>
    </font>
    <font>
      <sz val="11"/>
      <color rgb="FFC00000"/>
      <name val="Calibri"/>
    </font>
    <font>
      <b/>
      <sz val="11"/>
      <name val="Arial"/>
      <family val="2"/>
    </font>
    <font>
      <b/>
      <sz val="12"/>
      <name val="Arial"/>
    </font>
    <font>
      <b/>
      <sz val="12"/>
      <name val="Arial"/>
      <family val="2"/>
    </font>
    <font>
      <sz val="8"/>
      <name val="Arial MT"/>
    </font>
    <font>
      <sz val="8"/>
      <name val="Arial MT"/>
      <family val="2"/>
    </font>
    <font>
      <sz val="6"/>
      <name val="Arial MT"/>
      <family val="2"/>
    </font>
    <font>
      <sz val="8"/>
      <color rgb="FF000000"/>
      <name val="Arial MT"/>
      <family val="2"/>
    </font>
    <font>
      <sz val="7"/>
      <color rgb="FF000000"/>
      <name val="Arial MT"/>
      <family val="2"/>
    </font>
    <font>
      <b/>
      <sz val="9"/>
      <color rgb="FF000000"/>
      <name val="Arial"/>
      <family val="2"/>
    </font>
    <font>
      <b/>
      <sz val="8"/>
      <name val="Arial"/>
    </font>
    <font>
      <b/>
      <sz val="8"/>
      <name val="Arial"/>
      <family val="2"/>
    </font>
    <font>
      <b/>
      <sz val="8"/>
      <color rgb="FF000000"/>
      <name val="Arial"/>
      <family val="2"/>
    </font>
    <font>
      <sz val="6"/>
      <color rgb="FF000000"/>
      <name val="Arial MT"/>
      <family val="2"/>
    </font>
    <font>
      <b/>
      <sz val="11"/>
      <color rgb="FF000000"/>
      <name val="Calibri"/>
      <family val="2"/>
    </font>
    <font>
      <sz val="11"/>
      <color rgb="FF000000"/>
      <name val="Calibri"/>
      <family val="2"/>
    </font>
    <font>
      <b/>
      <sz val="11"/>
      <color rgb="FF000000"/>
      <name val="Times New Roman"/>
      <family val="1"/>
    </font>
    <font>
      <sz val="11"/>
      <color rgb="FF000000"/>
      <name val="Times New Roman"/>
      <family val="1"/>
    </font>
    <font>
      <sz val="11"/>
      <color rgb="FF000000"/>
      <name val="Calibri"/>
    </font>
  </fonts>
  <fills count="13">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
      <patternFill patternType="solid">
        <fgColor rgb="FF92D050"/>
      </patternFill>
    </fill>
  </fills>
  <borders count="3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s>
  <cellStyleXfs count="2">
    <xf numFmtId="0" fontId="0" fillId="0" borderId="0"/>
    <xf numFmtId="43" fontId="72" fillId="0" borderId="0" applyFont="0" applyFill="0" applyBorder="0" applyAlignment="0" applyProtection="0"/>
  </cellStyleXfs>
  <cellXfs count="483">
    <xf numFmtId="0" fontId="0" fillId="0" borderId="0" xfId="0" applyFont="1" applyAlignment="1"/>
    <xf numFmtId="0" fontId="0" fillId="0" borderId="0" xfId="0" applyFont="1" applyAlignment="1">
      <alignment vertical="center" wrapText="1"/>
    </xf>
    <xf numFmtId="0" fontId="0" fillId="5" borderId="5" xfId="0" applyFont="1" applyFill="1" applyBorder="1" applyAlignment="1">
      <alignment vertical="center" wrapText="1"/>
    </xf>
    <xf numFmtId="0" fontId="0" fillId="6" borderId="5" xfId="0" applyFont="1"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5" fillId="7" borderId="10" xfId="0" applyFont="1" applyFill="1" applyBorder="1" applyAlignment="1">
      <alignment vertical="center" wrapText="1"/>
    </xf>
    <xf numFmtId="0" fontId="0"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4" fontId="10" fillId="0" borderId="6" xfId="0" applyNumberFormat="1" applyFont="1" applyBorder="1" applyAlignment="1">
      <alignment vertical="center" wrapText="1"/>
    </xf>
    <xf numFmtId="9" fontId="11" fillId="6" borderId="6" xfId="0" applyNumberFormat="1" applyFont="1" applyFill="1" applyBorder="1"/>
    <xf numFmtId="164" fontId="11" fillId="0" borderId="6" xfId="0" applyNumberFormat="1" applyFont="1" applyBorder="1"/>
    <xf numFmtId="0" fontId="11" fillId="0" borderId="6" xfId="0" applyFont="1" applyBorder="1"/>
    <xf numFmtId="164" fontId="12" fillId="0" borderId="6" xfId="0" applyNumberFormat="1" applyFont="1" applyBorder="1" applyAlignment="1">
      <alignment horizontal="center" vertical="center" wrapText="1"/>
    </xf>
    <xf numFmtId="165" fontId="0" fillId="0" borderId="0" xfId="0" applyNumberFormat="1" applyFon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5" fontId="10" fillId="0" borderId="6" xfId="0" applyNumberFormat="1" applyFont="1" applyBorder="1" applyAlignment="1">
      <alignment horizontal="right" vertical="center" wrapText="1"/>
    </xf>
    <xf numFmtId="9" fontId="10" fillId="6" borderId="6" xfId="0" applyNumberFormat="1" applyFont="1" applyFill="1" applyBorder="1" applyAlignment="1">
      <alignment horizontal="right" vertical="center" wrapText="1"/>
    </xf>
    <xf numFmtId="165"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6" fontId="16" fillId="0" borderId="6" xfId="0" applyNumberFormat="1" applyFont="1" applyBorder="1" applyAlignment="1">
      <alignment horizontal="right" vertical="center" wrapText="1"/>
    </xf>
    <xf numFmtId="0" fontId="17" fillId="5" borderId="6" xfId="0" applyFont="1" applyFill="1" applyBorder="1" applyAlignment="1">
      <alignment vertical="center" wrapText="1"/>
    </xf>
    <xf numFmtId="164" fontId="16" fillId="5" borderId="6" xfId="0" applyNumberFormat="1" applyFont="1" applyFill="1" applyBorder="1" applyAlignment="1">
      <alignment horizontal="left" vertical="center" wrapText="1"/>
    </xf>
    <xf numFmtId="164" fontId="16" fillId="5" borderId="6" xfId="0" applyNumberFormat="1" applyFont="1" applyFill="1" applyBorder="1" applyAlignment="1">
      <alignment vertical="center" wrapText="1"/>
    </xf>
    <xf numFmtId="164" fontId="16" fillId="5" borderId="6" xfId="0" applyNumberFormat="1" applyFont="1" applyFill="1" applyBorder="1" applyAlignment="1">
      <alignment horizontal="right" vertical="center" wrapText="1"/>
    </xf>
    <xf numFmtId="165" fontId="18" fillId="0" borderId="6" xfId="0" applyNumberFormat="1" applyFont="1" applyBorder="1" applyAlignment="1">
      <alignment horizontal="right" vertical="center" wrapText="1"/>
    </xf>
    <xf numFmtId="0" fontId="0" fillId="0" borderId="0" xfId="0" applyFont="1"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5" fontId="17" fillId="5" borderId="6" xfId="0" applyNumberFormat="1" applyFont="1" applyFill="1" applyBorder="1" applyAlignment="1">
      <alignment horizontal="right"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vertical="center" wrapText="1"/>
    </xf>
    <xf numFmtId="164" fontId="18" fillId="5" borderId="6" xfId="0" applyNumberFormat="1" applyFont="1" applyFill="1" applyBorder="1" applyAlignment="1">
      <alignment horizontal="right" vertical="center" wrapText="1"/>
    </xf>
    <xf numFmtId="0" fontId="18" fillId="5" borderId="6" xfId="0" applyFont="1" applyFill="1" applyBorder="1"/>
    <xf numFmtId="165" fontId="18" fillId="5" borderId="6" xfId="0" applyNumberFormat="1" applyFont="1" applyFill="1" applyBorder="1" applyAlignment="1">
      <alignment horizontal="right" vertical="center" wrapText="1"/>
    </xf>
    <xf numFmtId="166" fontId="0" fillId="0" borderId="0" xfId="0" applyNumberFormat="1" applyFont="1"/>
    <xf numFmtId="0" fontId="19" fillId="8" borderId="6" xfId="0" applyFont="1" applyFill="1" applyBorder="1" applyAlignment="1">
      <alignment vertical="center" wrapText="1"/>
    </xf>
    <xf numFmtId="0" fontId="19"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5" fontId="14" fillId="5" borderId="6" xfId="0" applyNumberFormat="1" applyFont="1" applyFill="1" applyBorder="1" applyAlignment="1">
      <alignment horizontal="center" vertical="center" wrapText="1"/>
    </xf>
    <xf numFmtId="165" fontId="14" fillId="5" borderId="6" xfId="0" applyNumberFormat="1" applyFont="1" applyFill="1" applyBorder="1" applyAlignment="1">
      <alignment horizontal="right" vertical="center" wrapText="1"/>
    </xf>
    <xf numFmtId="165" fontId="20"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165" fontId="17" fillId="5" borderId="6" xfId="0" applyNumberFormat="1" applyFont="1" applyFill="1" applyBorder="1" applyAlignment="1">
      <alignment horizontal="center" vertical="center" wrapText="1"/>
    </xf>
    <xf numFmtId="0" fontId="15" fillId="8" borderId="17" xfId="0" applyFont="1" applyFill="1" applyBorder="1" applyAlignment="1">
      <alignment vertical="center" wrapText="1"/>
    </xf>
    <xf numFmtId="0" fontId="15" fillId="8" borderId="18" xfId="0" applyFont="1" applyFill="1" applyBorder="1" applyAlignment="1">
      <alignment horizontal="center" vertical="center" wrapText="1"/>
    </xf>
    <xf numFmtId="0" fontId="17" fillId="5" borderId="19" xfId="0" applyFont="1" applyFill="1" applyBorder="1" applyAlignment="1">
      <alignment horizontal="right" vertical="center" wrapText="1"/>
    </xf>
    <xf numFmtId="0" fontId="17" fillId="5" borderId="20" xfId="0" applyFont="1" applyFill="1" applyBorder="1" applyAlignment="1">
      <alignment vertical="center" wrapText="1"/>
    </xf>
    <xf numFmtId="165" fontId="17" fillId="5" borderId="20" xfId="0" applyNumberFormat="1" applyFont="1" applyFill="1" applyBorder="1" applyAlignment="1">
      <alignment horizontal="right" vertical="center" wrapText="1"/>
    </xf>
    <xf numFmtId="165" fontId="18" fillId="5" borderId="20" xfId="0" applyNumberFormat="1" applyFont="1" applyFill="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4" fontId="17" fillId="5" borderId="6" xfId="0" applyNumberFormat="1" applyFont="1" applyFill="1" applyBorder="1"/>
    <xf numFmtId="164" fontId="17" fillId="0" borderId="6" xfId="0" applyNumberFormat="1" applyFont="1" applyBorder="1"/>
    <xf numFmtId="0" fontId="18" fillId="0" borderId="6" xfId="0" applyFont="1" applyBorder="1"/>
    <xf numFmtId="164" fontId="18" fillId="0" borderId="6" xfId="0" applyNumberFormat="1" applyFont="1" applyBorder="1"/>
    <xf numFmtId="0" fontId="22" fillId="0" borderId="0" xfId="0" applyFont="1" applyAlignment="1">
      <alignment horizontal="center"/>
    </xf>
    <xf numFmtId="0" fontId="0" fillId="0" borderId="0" xfId="0" applyFont="1"/>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5" fontId="16" fillId="0" borderId="6" xfId="0" applyNumberFormat="1" applyFont="1" applyBorder="1"/>
    <xf numFmtId="165" fontId="26" fillId="0" borderId="6" xfId="0" applyNumberFormat="1" applyFont="1" applyBorder="1"/>
    <xf numFmtId="0" fontId="17" fillId="0" borderId="0" xfId="0" applyFont="1" applyAlignment="1">
      <alignment horizontal="left"/>
    </xf>
    <xf numFmtId="165" fontId="16" fillId="0" borderId="0" xfId="0" applyNumberFormat="1" applyFont="1"/>
    <xf numFmtId="0" fontId="18" fillId="10" borderId="23" xfId="0" applyFont="1" applyFill="1" applyBorder="1" applyAlignment="1">
      <alignment horizontal="left" wrapText="1"/>
    </xf>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5" fontId="29" fillId="9" borderId="6" xfId="0" applyNumberFormat="1" applyFont="1" applyFill="1" applyBorder="1" applyAlignment="1">
      <alignment horizontal="center"/>
    </xf>
    <xf numFmtId="165"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5" fontId="22" fillId="0" borderId="0" xfId="0" applyNumberFormat="1" applyFont="1"/>
    <xf numFmtId="38" fontId="22" fillId="0" borderId="0" xfId="0" applyNumberFormat="1" applyFont="1" applyAlignment="1">
      <alignment horizontal="left"/>
    </xf>
    <xf numFmtId="0" fontId="22" fillId="0" borderId="0" xfId="0" applyFont="1"/>
    <xf numFmtId="167" fontId="16" fillId="0" borderId="6" xfId="0" applyNumberFormat="1" applyFont="1" applyBorder="1" applyAlignment="1">
      <alignment vertical="center"/>
    </xf>
    <xf numFmtId="168" fontId="22" fillId="0" borderId="0" xfId="0" applyNumberFormat="1" applyFont="1" applyAlignment="1">
      <alignment vertical="center"/>
    </xf>
    <xf numFmtId="167" fontId="26" fillId="0" borderId="6" xfId="0" applyNumberFormat="1" applyFont="1" applyBorder="1" applyAlignment="1">
      <alignment vertical="center"/>
    </xf>
    <xf numFmtId="0" fontId="0" fillId="0" borderId="24" xfId="0" applyFont="1" applyBorder="1"/>
    <xf numFmtId="0" fontId="22" fillId="0" borderId="24" xfId="0" applyFont="1" applyBorder="1"/>
    <xf numFmtId="9" fontId="22" fillId="6" borderId="23" xfId="0" applyNumberFormat="1" applyFont="1" applyFill="1" applyBorder="1"/>
    <xf numFmtId="164" fontId="17" fillId="0" borderId="0" xfId="0" applyNumberFormat="1" applyFont="1"/>
    <xf numFmtId="9" fontId="17" fillId="6" borderId="23" xfId="0" applyNumberFormat="1" applyFont="1" applyFill="1" applyBorder="1"/>
    <xf numFmtId="0" fontId="17" fillId="6" borderId="23" xfId="0" applyFont="1" applyFill="1" applyBorder="1"/>
    <xf numFmtId="169" fontId="17" fillId="0" borderId="0" xfId="0" applyNumberFormat="1" applyFont="1"/>
    <xf numFmtId="168"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0" fillId="0" borderId="0" xfId="0" applyNumberFormat="1" applyFont="1"/>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3"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4" fontId="16" fillId="5" borderId="6" xfId="0" applyNumberFormat="1" applyFont="1" applyFill="1" applyBorder="1"/>
    <xf numFmtId="2" fontId="16" fillId="5" borderId="6" xfId="0" applyNumberFormat="1" applyFont="1" applyFill="1" applyBorder="1"/>
    <xf numFmtId="170" fontId="16" fillId="5" borderId="6" xfId="0" applyNumberFormat="1" applyFont="1" applyFill="1" applyBorder="1"/>
    <xf numFmtId="0" fontId="0" fillId="0" borderId="6" xfId="0" applyFont="1" applyBorder="1"/>
    <xf numFmtId="9" fontId="17" fillId="6" borderId="6" xfId="0" applyNumberFormat="1" applyFont="1" applyFill="1" applyBorder="1"/>
    <xf numFmtId="2" fontId="26" fillId="5" borderId="6" xfId="0" applyNumberFormat="1" applyFont="1" applyFill="1" applyBorder="1"/>
    <xf numFmtId="9" fontId="17" fillId="5" borderId="6" xfId="0" applyNumberFormat="1" applyFont="1" applyFill="1" applyBorder="1"/>
    <xf numFmtId="0" fontId="30" fillId="0" borderId="0" xfId="0" applyFont="1"/>
    <xf numFmtId="0" fontId="0" fillId="0" borderId="0" xfId="0" applyFont="1"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4"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4"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8" fillId="5" borderId="5" xfId="0" applyFont="1" applyFill="1" applyBorder="1" applyAlignment="1">
      <alignment horizontal="center" vertical="center" wrapText="1"/>
    </xf>
    <xf numFmtId="164"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9" fontId="18" fillId="6" borderId="6" xfId="0" applyNumberFormat="1" applyFont="1" applyFill="1" applyBorder="1" applyAlignment="1">
      <alignment horizontal="center" vertical="center" wrapText="1"/>
    </xf>
    <xf numFmtId="43" fontId="0" fillId="0" borderId="0" xfId="0" applyNumberFormat="1" applyFont="1"/>
    <xf numFmtId="9" fontId="0" fillId="0" borderId="0" xfId="0" applyNumberFormat="1" applyFont="1"/>
    <xf numFmtId="164" fontId="0" fillId="0" borderId="0" xfId="0" applyNumberFormat="1" applyFont="1"/>
    <xf numFmtId="164" fontId="2" fillId="0" borderId="0" xfId="0" applyNumberFormat="1" applyFont="1"/>
    <xf numFmtId="0" fontId="33" fillId="0" borderId="0" xfId="0" applyFont="1"/>
    <xf numFmtId="0" fontId="27" fillId="0" borderId="0" xfId="0" applyFont="1" applyAlignment="1">
      <alignment vertical="center"/>
    </xf>
    <xf numFmtId="0" fontId="5" fillId="0" borderId="0" xfId="0" applyFont="1"/>
    <xf numFmtId="0" fontId="34" fillId="0" borderId="0" xfId="0" applyFont="1" applyAlignment="1">
      <alignment vertical="center"/>
    </xf>
    <xf numFmtId="0" fontId="22" fillId="0" borderId="0" xfId="0" applyFont="1" applyAlignment="1">
      <alignment vertical="center"/>
    </xf>
    <xf numFmtId="0" fontId="15" fillId="8" borderId="30" xfId="0" applyFont="1" applyFill="1" applyBorder="1" applyAlignment="1">
      <alignment vertical="center"/>
    </xf>
    <xf numFmtId="0" fontId="15" fillId="8" borderId="31" xfId="0" applyFont="1" applyFill="1" applyBorder="1" applyAlignment="1">
      <alignment horizontal="center"/>
    </xf>
    <xf numFmtId="0" fontId="16" fillId="0" borderId="32" xfId="0" applyFont="1" applyBorder="1" applyAlignment="1">
      <alignment vertical="center"/>
    </xf>
    <xf numFmtId="37" fontId="26"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32" xfId="0" applyFont="1" applyBorder="1" applyAlignment="1">
      <alignment vertical="center"/>
    </xf>
    <xf numFmtId="4" fontId="16" fillId="0" borderId="6" xfId="0" applyNumberFormat="1" applyFont="1" applyBorder="1" applyAlignment="1">
      <alignment vertical="center"/>
    </xf>
    <xf numFmtId="0" fontId="26" fillId="0" borderId="32" xfId="0" applyFont="1" applyBorder="1" applyAlignment="1">
      <alignment horizontal="left" vertical="center"/>
    </xf>
    <xf numFmtId="4" fontId="37" fillId="0" borderId="6" xfId="0" applyNumberFormat="1" applyFont="1" applyBorder="1" applyAlignment="1">
      <alignment vertical="center"/>
    </xf>
    <xf numFmtId="3" fontId="26" fillId="0" borderId="6" xfId="0" applyNumberFormat="1" applyFont="1" applyBorder="1" applyAlignment="1">
      <alignment vertical="center"/>
    </xf>
    <xf numFmtId="3" fontId="27" fillId="0" borderId="0" xfId="0" applyNumberFormat="1" applyFont="1" applyAlignment="1">
      <alignment vertical="center"/>
    </xf>
    <xf numFmtId="0" fontId="16" fillId="0" borderId="32" xfId="0" applyFont="1" applyBorder="1" applyAlignment="1">
      <alignment horizontal="left" vertical="center"/>
    </xf>
    <xf numFmtId="3" fontId="16" fillId="0" borderId="6" xfId="0" applyNumberFormat="1" applyFont="1" applyBorder="1" applyAlignment="1">
      <alignment vertical="center"/>
    </xf>
    <xf numFmtId="0" fontId="26" fillId="0" borderId="32" xfId="0" applyFont="1" applyBorder="1" applyAlignment="1">
      <alignment vertical="center"/>
    </xf>
    <xf numFmtId="3" fontId="37" fillId="0" borderId="6" xfId="0" applyNumberFormat="1" applyFont="1" applyBorder="1" applyAlignment="1">
      <alignment vertical="center"/>
    </xf>
    <xf numFmtId="3" fontId="35" fillId="0" borderId="6" xfId="0" applyNumberFormat="1" applyFont="1" applyBorder="1" applyAlignment="1">
      <alignment vertical="center"/>
    </xf>
    <xf numFmtId="0" fontId="18" fillId="0" borderId="32" xfId="0" applyFont="1" applyBorder="1" applyAlignment="1">
      <alignment vertical="center"/>
    </xf>
    <xf numFmtId="3" fontId="18" fillId="0" borderId="6" xfId="0" applyNumberFormat="1" applyFont="1" applyBorder="1" applyAlignment="1">
      <alignment vertical="center"/>
    </xf>
    <xf numFmtId="0" fontId="38" fillId="0" borderId="32" xfId="0" applyFont="1" applyBorder="1" applyAlignment="1">
      <alignment vertical="center"/>
    </xf>
    <xf numFmtId="4" fontId="39" fillId="0" borderId="6" xfId="0" applyNumberFormat="1" applyFont="1" applyBorder="1" applyAlignment="1">
      <alignment vertical="center"/>
    </xf>
    <xf numFmtId="0" fontId="40" fillId="0" borderId="32" xfId="0" applyFont="1" applyBorder="1" applyAlignment="1">
      <alignment vertical="center"/>
    </xf>
    <xf numFmtId="4" fontId="40" fillId="0" borderId="6" xfId="0" applyNumberFormat="1" applyFont="1" applyBorder="1" applyAlignment="1">
      <alignment vertical="center"/>
    </xf>
    <xf numFmtId="0" fontId="40" fillId="0" borderId="33" xfId="0" applyFont="1" applyBorder="1" applyAlignment="1">
      <alignment vertical="center"/>
    </xf>
    <xf numFmtId="4" fontId="40" fillId="0" borderId="34" xfId="0" applyNumberFormat="1" applyFont="1" applyBorder="1" applyAlignment="1">
      <alignment vertical="center"/>
    </xf>
    <xf numFmtId="4" fontId="27" fillId="0" borderId="0" xfId="0" applyNumberFormat="1" applyFont="1" applyAlignment="1">
      <alignment vertical="center"/>
    </xf>
    <xf numFmtId="0" fontId="15" fillId="8" borderId="6" xfId="0" applyFont="1" applyFill="1" applyBorder="1" applyAlignment="1">
      <alignment wrapText="1"/>
    </xf>
    <xf numFmtId="0" fontId="18" fillId="0" borderId="6" xfId="0" applyFont="1" applyBorder="1" applyAlignment="1">
      <alignment wrapText="1"/>
    </xf>
    <xf numFmtId="164" fontId="17" fillId="0" borderId="6" xfId="0" applyNumberFormat="1" applyFont="1" applyBorder="1" applyAlignment="1">
      <alignment wrapText="1"/>
    </xf>
    <xf numFmtId="0" fontId="17" fillId="0" borderId="6" xfId="0" applyFont="1" applyBorder="1" applyAlignment="1">
      <alignment horizontal="left" wrapText="1"/>
    </xf>
    <xf numFmtId="164" fontId="18" fillId="0" borderId="6" xfId="0" applyNumberFormat="1" applyFont="1" applyBorder="1" applyAlignment="1">
      <alignment wrapText="1"/>
    </xf>
    <xf numFmtId="0" fontId="17" fillId="0" borderId="6" xfId="0" applyFont="1" applyBorder="1" applyAlignment="1">
      <alignment wrapText="1"/>
    </xf>
    <xf numFmtId="0" fontId="17" fillId="0" borderId="6" xfId="0" applyFont="1" applyBorder="1" applyAlignment="1">
      <alignment horizontal="right" wrapText="1"/>
    </xf>
    <xf numFmtId="165" fontId="17" fillId="0" borderId="6" xfId="0" applyNumberFormat="1" applyFont="1" applyBorder="1" applyAlignment="1">
      <alignment wrapText="1"/>
    </xf>
    <xf numFmtId="0" fontId="18" fillId="0" borderId="6" xfId="0" applyFont="1" applyBorder="1" applyAlignment="1">
      <alignment horizontal="right" wrapText="1"/>
    </xf>
    <xf numFmtId="164" fontId="17" fillId="11" borderId="6" xfId="0" applyNumberFormat="1" applyFont="1" applyFill="1" applyBorder="1" applyAlignment="1">
      <alignment wrapText="1"/>
    </xf>
    <xf numFmtId="0" fontId="18" fillId="0" borderId="6" xfId="0" applyFont="1" applyBorder="1" applyAlignment="1">
      <alignment horizontal="left" wrapText="1"/>
    </xf>
    <xf numFmtId="0" fontId="42" fillId="0" borderId="0" xfId="0" applyFont="1"/>
    <xf numFmtId="0" fontId="29" fillId="9" borderId="6" xfId="0" applyFont="1" applyFill="1" applyBorder="1" applyAlignment="1">
      <alignment horizontal="left"/>
    </xf>
    <xf numFmtId="0" fontId="43" fillId="9" borderId="6" xfId="0" applyFont="1" applyFill="1" applyBorder="1" applyAlignment="1">
      <alignment horizontal="center"/>
    </xf>
    <xf numFmtId="0" fontId="44" fillId="9" borderId="35" xfId="0" applyFont="1" applyFill="1" applyBorder="1" applyAlignment="1">
      <alignment horizontal="center"/>
    </xf>
    <xf numFmtId="4" fontId="17" fillId="0" borderId="6" xfId="0" applyNumberFormat="1" applyFont="1" applyBorder="1"/>
    <xf numFmtId="0" fontId="17" fillId="0" borderId="6" xfId="0" quotePrefix="1" applyFont="1" applyBorder="1" applyAlignment="1">
      <alignment horizontal="left"/>
    </xf>
    <xf numFmtId="4" fontId="45" fillId="0" borderId="6" xfId="0" applyNumberFormat="1" applyFont="1" applyBorder="1"/>
    <xf numFmtId="4" fontId="0" fillId="0" borderId="6" xfId="0" applyNumberFormat="1" applyFont="1" applyBorder="1"/>
    <xf numFmtId="4" fontId="0" fillId="0" borderId="0" xfId="0" applyNumberFormat="1" applyFont="1"/>
    <xf numFmtId="10" fontId="0" fillId="0" borderId="0" xfId="0" applyNumberFormat="1" applyFont="1"/>
    <xf numFmtId="0" fontId="29" fillId="9" borderId="6" xfId="0" applyFont="1" applyFill="1" applyBorder="1"/>
    <xf numFmtId="0" fontId="29" fillId="9" borderId="6" xfId="0" applyFont="1" applyFill="1" applyBorder="1" applyAlignment="1">
      <alignment horizontal="center"/>
    </xf>
    <xf numFmtId="2" fontId="17" fillId="0" borderId="6" xfId="0" applyNumberFormat="1" applyFont="1" applyBorder="1"/>
    <xf numFmtId="10" fontId="18" fillId="0" borderId="0" xfId="0" applyNumberFormat="1" applyFont="1"/>
    <xf numFmtId="3" fontId="17" fillId="0" borderId="6" xfId="0" applyNumberFormat="1" applyFont="1" applyBorder="1"/>
    <xf numFmtId="0" fontId="45" fillId="0" borderId="6" xfId="0" applyFont="1" applyBorder="1"/>
    <xf numFmtId="0" fontId="45" fillId="0" borderId="0" xfId="0" applyFont="1"/>
    <xf numFmtId="171" fontId="17" fillId="0" borderId="0" xfId="0" applyNumberFormat="1" applyFont="1"/>
    <xf numFmtId="0" fontId="48" fillId="9" borderId="6" xfId="0" applyFont="1" applyFill="1" applyBorder="1" applyAlignment="1">
      <alignment horizontal="center"/>
    </xf>
    <xf numFmtId="0" fontId="49" fillId="0" borderId="6" xfId="0" applyFont="1" applyBorder="1" applyAlignment="1">
      <alignment horizontal="center"/>
    </xf>
    <xf numFmtId="0" fontId="50" fillId="0" borderId="6" xfId="0" applyFont="1" applyBorder="1" applyAlignment="1">
      <alignment horizontal="center"/>
    </xf>
    <xf numFmtId="0" fontId="18" fillId="0" borderId="6" xfId="0" applyFont="1" applyBorder="1" applyAlignment="1">
      <alignment horizontal="center" vertical="center"/>
    </xf>
    <xf numFmtId="0" fontId="17" fillId="0" borderId="6" xfId="0" applyFont="1" applyBorder="1" applyAlignment="1">
      <alignment horizontal="center"/>
    </xf>
    <xf numFmtId="0" fontId="16" fillId="0" borderId="6" xfId="0" applyFont="1" applyBorder="1" applyAlignment="1">
      <alignment horizontal="center"/>
    </xf>
    <xf numFmtId="164" fontId="17" fillId="0" borderId="6" xfId="0" applyNumberFormat="1" applyFont="1" applyBorder="1" applyAlignment="1">
      <alignment horizontal="center"/>
    </xf>
    <xf numFmtId="164" fontId="0" fillId="0" borderId="6" xfId="0" applyNumberFormat="1" applyFont="1" applyBorder="1"/>
    <xf numFmtId="0" fontId="0" fillId="0" borderId="6" xfId="0" applyFont="1" applyBorder="1" applyAlignment="1">
      <alignment horizontal="center" vertical="center"/>
    </xf>
    <xf numFmtId="164" fontId="5" fillId="0" borderId="6" xfId="0" applyNumberFormat="1" applyFont="1" applyBorder="1"/>
    <xf numFmtId="2" fontId="5" fillId="0" borderId="6" xfId="0" applyNumberFormat="1" applyFont="1" applyBorder="1"/>
    <xf numFmtId="2" fontId="5" fillId="0" borderId="0" xfId="0" applyNumberFormat="1" applyFont="1"/>
    <xf numFmtId="2" fontId="18" fillId="0" borderId="6" xfId="0" applyNumberFormat="1" applyFont="1" applyBorder="1"/>
    <xf numFmtId="9" fontId="5" fillId="6" borderId="23" xfId="0" applyNumberFormat="1" applyFont="1" applyFill="1" applyBorder="1"/>
    <xf numFmtId="172" fontId="17" fillId="0" borderId="0" xfId="0" applyNumberFormat="1" applyFont="1"/>
    <xf numFmtId="172" fontId="17" fillId="0" borderId="6" xfId="0" applyNumberFormat="1" applyFont="1" applyBorder="1"/>
    <xf numFmtId="173" fontId="17" fillId="0" borderId="6" xfId="0" applyNumberFormat="1" applyFont="1" applyBorder="1"/>
    <xf numFmtId="43" fontId="17" fillId="0" borderId="6" xfId="0" applyNumberFormat="1" applyFont="1" applyBorder="1"/>
    <xf numFmtId="171" fontId="18" fillId="0" borderId="6" xfId="0" applyNumberFormat="1" applyFont="1" applyBorder="1"/>
    <xf numFmtId="172" fontId="18" fillId="0" borderId="6" xfId="0" applyNumberFormat="1" applyFont="1" applyBorder="1"/>
    <xf numFmtId="0" fontId="51" fillId="0" borderId="0" xfId="0" applyFont="1"/>
    <xf numFmtId="0" fontId="52" fillId="9" borderId="6" xfId="0" applyFont="1" applyFill="1" applyBorder="1"/>
    <xf numFmtId="0" fontId="52" fillId="9" borderId="6" xfId="0" applyFont="1" applyFill="1" applyBorder="1" applyAlignment="1">
      <alignment horizontal="center"/>
    </xf>
    <xf numFmtId="0" fontId="52" fillId="0" borderId="0" xfId="0" applyFont="1" applyAlignment="1">
      <alignment horizontal="center"/>
    </xf>
    <xf numFmtId="0" fontId="0" fillId="5" borderId="6" xfId="0" applyFont="1" applyFill="1" applyBorder="1"/>
    <xf numFmtId="1" fontId="0" fillId="0" borderId="0" xfId="0" applyNumberFormat="1" applyFont="1"/>
    <xf numFmtId="0" fontId="5" fillId="0" borderId="6" xfId="0" applyFont="1" applyBorder="1"/>
    <xf numFmtId="164" fontId="5" fillId="0" borderId="0" xfId="0" applyNumberFormat="1" applyFont="1"/>
    <xf numFmtId="0" fontId="5" fillId="5" borderId="6" xfId="0" applyFont="1" applyFill="1" applyBorder="1"/>
    <xf numFmtId="174" fontId="0" fillId="0" borderId="0" xfId="0" applyNumberFormat="1" applyFont="1"/>
    <xf numFmtId="0" fontId="52" fillId="9" borderId="6" xfId="0" applyFont="1" applyFill="1" applyBorder="1" applyAlignment="1">
      <alignment wrapText="1"/>
    </xf>
    <xf numFmtId="0" fontId="5" fillId="0" borderId="24" xfId="0" applyFont="1" applyBorder="1" applyAlignment="1">
      <alignment wrapText="1"/>
    </xf>
    <xf numFmtId="9" fontId="0" fillId="5" borderId="6" xfId="0" applyNumberFormat="1" applyFont="1" applyFill="1" applyBorder="1"/>
    <xf numFmtId="0" fontId="0" fillId="6" borderId="6" xfId="0" applyFont="1" applyFill="1" applyBorder="1"/>
    <xf numFmtId="9" fontId="0" fillId="6" borderId="6" xfId="0" applyNumberFormat="1" applyFont="1" applyFill="1" applyBorder="1"/>
    <xf numFmtId="0" fontId="0" fillId="0" borderId="9" xfId="0" applyFont="1" applyBorder="1" applyAlignment="1">
      <alignment horizontal="center" vertical="center"/>
    </xf>
    <xf numFmtId="0" fontId="0" fillId="0" borderId="8" xfId="0" applyFont="1" applyBorder="1" applyAlignment="1">
      <alignment vertical="center" wrapText="1"/>
    </xf>
    <xf numFmtId="0" fontId="0" fillId="0" borderId="9" xfId="0" applyFont="1" applyBorder="1" applyAlignment="1">
      <alignment vertical="center" wrapText="1"/>
    </xf>
    <xf numFmtId="9" fontId="52" fillId="6" borderId="6" xfId="0" applyNumberFormat="1" applyFont="1" applyFill="1" applyBorder="1"/>
    <xf numFmtId="9" fontId="52" fillId="6" borderId="6" xfId="0" applyNumberFormat="1" applyFont="1" applyFill="1" applyBorder="1" applyAlignment="1">
      <alignment horizontal="center"/>
    </xf>
    <xf numFmtId="9" fontId="53" fillId="6" borderId="6" xfId="0" applyNumberFormat="1" applyFont="1" applyFill="1" applyBorder="1"/>
    <xf numFmtId="174" fontId="53" fillId="6" borderId="6" xfId="0" applyNumberFormat="1" applyFont="1" applyFill="1" applyBorder="1"/>
    <xf numFmtId="0" fontId="5" fillId="0" borderId="9" xfId="0" applyFont="1" applyBorder="1" applyAlignment="1">
      <alignment horizontal="center" vertical="center"/>
    </xf>
    <xf numFmtId="0" fontId="17" fillId="5" borderId="23" xfId="0" applyFont="1" applyFill="1" applyBorder="1"/>
    <xf numFmtId="9" fontId="0" fillId="0" borderId="6" xfId="0" applyNumberFormat="1" applyFont="1" applyBorder="1"/>
    <xf numFmtId="165" fontId="18" fillId="0" borderId="6" xfId="0" applyNumberFormat="1" applyFont="1" applyBorder="1"/>
    <xf numFmtId="0" fontId="18" fillId="6" borderId="6" xfId="0" applyFont="1" applyFill="1" applyBorder="1"/>
    <xf numFmtId="9" fontId="18" fillId="6" borderId="6" xfId="0" applyNumberFormat="1" applyFont="1" applyFill="1" applyBorder="1"/>
    <xf numFmtId="165" fontId="18" fillId="6" borderId="6" xfId="0" applyNumberFormat="1" applyFont="1" applyFill="1" applyBorder="1"/>
    <xf numFmtId="165"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4" fontId="18" fillId="5" borderId="6" xfId="0" applyNumberFormat="1" applyFont="1" applyFill="1" applyBorder="1"/>
    <xf numFmtId="172" fontId="18" fillId="5" borderId="6" xfId="0" applyNumberFormat="1" applyFont="1" applyFill="1" applyBorder="1"/>
    <xf numFmtId="43" fontId="17" fillId="0" borderId="0" xfId="0" applyNumberFormat="1" applyFont="1"/>
    <xf numFmtId="1" fontId="17" fillId="0" borderId="6" xfId="0" applyNumberFormat="1" applyFont="1" applyBorder="1"/>
    <xf numFmtId="0" fontId="17" fillId="6" borderId="6" xfId="0" applyFont="1" applyFill="1" applyBorder="1"/>
    <xf numFmtId="164" fontId="0" fillId="0" borderId="2" xfId="0" applyNumberFormat="1" applyFont="1" applyBorder="1"/>
    <xf numFmtId="0" fontId="17" fillId="5" borderId="6" xfId="0" applyFont="1" applyFill="1" applyBorder="1" applyAlignment="1">
      <alignment wrapText="1"/>
    </xf>
    <xf numFmtId="166" fontId="17" fillId="5" borderId="23" xfId="0" applyNumberFormat="1" applyFont="1" applyFill="1" applyBorder="1"/>
    <xf numFmtId="166" fontId="17" fillId="0" borderId="0" xfId="0" applyNumberFormat="1" applyFont="1"/>
    <xf numFmtId="1" fontId="17" fillId="0" borderId="0" xfId="0" applyNumberFormat="1" applyFont="1"/>
    <xf numFmtId="0" fontId="52" fillId="9" borderId="10" xfId="0" applyFont="1" applyFill="1" applyBorder="1" applyAlignment="1">
      <alignment wrapText="1"/>
    </xf>
    <xf numFmtId="0" fontId="0" fillId="0" borderId="6" xfId="0" applyFont="1" applyBorder="1" applyAlignment="1">
      <alignment horizontal="center"/>
    </xf>
    <xf numFmtId="164" fontId="17" fillId="5" borderId="6" xfId="0" applyNumberFormat="1" applyFont="1" applyFill="1" applyBorder="1" applyAlignment="1">
      <alignment wrapText="1"/>
    </xf>
    <xf numFmtId="164" fontId="18" fillId="0" borderId="0" xfId="0" applyNumberFormat="1" applyFont="1"/>
    <xf numFmtId="165" fontId="17" fillId="5" borderId="6" xfId="0" applyNumberFormat="1" applyFont="1" applyFill="1" applyBorder="1"/>
    <xf numFmtId="165" fontId="17" fillId="0" borderId="0" xfId="0" applyNumberFormat="1" applyFont="1"/>
    <xf numFmtId="164" fontId="17" fillId="0" borderId="4" xfId="0" applyNumberFormat="1" applyFont="1" applyBorder="1"/>
    <xf numFmtId="0" fontId="0" fillId="0" borderId="0" xfId="0" applyFont="1" applyAlignment="1"/>
    <xf numFmtId="0" fontId="52" fillId="9" borderId="8" xfId="0" applyFont="1" applyFill="1" applyBorder="1" applyAlignment="1">
      <alignment vertical="center"/>
    </xf>
    <xf numFmtId="0" fontId="52" fillId="9" borderId="28" xfId="0" applyFont="1" applyFill="1" applyBorder="1" applyAlignment="1">
      <alignment vertical="center"/>
    </xf>
    <xf numFmtId="0" fontId="0" fillId="0" borderId="0" xfId="0" applyAlignment="1"/>
    <xf numFmtId="0" fontId="0" fillId="0" borderId="23" xfId="0" applyFill="1" applyBorder="1" applyAlignment="1">
      <alignment horizontal="left" vertical="top"/>
    </xf>
    <xf numFmtId="0" fontId="58" fillId="0" borderId="8" xfId="0" applyFont="1" applyFill="1" applyBorder="1" applyAlignment="1">
      <alignment horizontal="right" vertical="top" wrapText="1"/>
    </xf>
    <xf numFmtId="0" fontId="58" fillId="0" borderId="8" xfId="0" applyFont="1" applyFill="1" applyBorder="1" applyAlignment="1">
      <alignment horizontal="left" vertical="top" wrapText="1"/>
    </xf>
    <xf numFmtId="0" fontId="0" fillId="0" borderId="2" xfId="0" applyFill="1" applyBorder="1" applyAlignment="1">
      <alignment horizontal="left" wrapText="1"/>
    </xf>
    <xf numFmtId="0" fontId="58" fillId="0" borderId="28" xfId="0" applyFont="1" applyFill="1" applyBorder="1" applyAlignment="1">
      <alignment horizontal="right" vertical="top" wrapText="1"/>
    </xf>
    <xf numFmtId="0" fontId="58" fillId="0" borderId="28" xfId="0" applyFont="1" applyFill="1" applyBorder="1" applyAlignment="1">
      <alignment horizontal="left" vertical="top" wrapText="1"/>
    </xf>
    <xf numFmtId="0" fontId="0" fillId="0" borderId="28" xfId="0" applyFill="1" applyBorder="1" applyAlignment="1">
      <alignment horizontal="left" vertical="center" wrapText="1"/>
    </xf>
    <xf numFmtId="1" fontId="61" fillId="0" borderId="28" xfId="0" applyNumberFormat="1" applyFont="1" applyFill="1" applyBorder="1" applyAlignment="1">
      <alignment horizontal="right" vertical="top" shrinkToFit="1"/>
    </xf>
    <xf numFmtId="0" fontId="0" fillId="0" borderId="31" xfId="0" applyFill="1" applyBorder="1" applyAlignment="1">
      <alignment horizontal="left" wrapText="1"/>
    </xf>
    <xf numFmtId="9" fontId="62" fillId="0" borderId="31" xfId="0" applyNumberFormat="1" applyFont="1" applyFill="1" applyBorder="1" applyAlignment="1">
      <alignment horizontal="right" vertical="top" shrinkToFit="1"/>
    </xf>
    <xf numFmtId="0" fontId="58" fillId="0" borderId="31" xfId="0" applyFont="1" applyFill="1" applyBorder="1" applyAlignment="1">
      <alignment horizontal="left" vertical="top" wrapText="1"/>
    </xf>
    <xf numFmtId="1" fontId="63" fillId="0" borderId="6" xfId="0" applyNumberFormat="1" applyFont="1" applyFill="1" applyBorder="1" applyAlignment="1">
      <alignment horizontal="right" vertical="top" shrinkToFit="1"/>
    </xf>
    <xf numFmtId="1" fontId="63" fillId="0" borderId="6" xfId="0" applyNumberFormat="1" applyFont="1" applyFill="1" applyBorder="1" applyAlignment="1">
      <alignment horizontal="center" vertical="top" shrinkToFit="1"/>
    </xf>
    <xf numFmtId="1" fontId="63" fillId="12" borderId="6" xfId="0" applyNumberFormat="1" applyFont="1" applyFill="1" applyBorder="1" applyAlignment="1">
      <alignment horizontal="center" vertical="top" shrinkToFit="1"/>
    </xf>
    <xf numFmtId="1" fontId="63" fillId="0" borderId="6" xfId="0" applyNumberFormat="1" applyFont="1" applyFill="1" applyBorder="1" applyAlignment="1">
      <alignment horizontal="left" vertical="top" indent="1" shrinkToFit="1"/>
    </xf>
    <xf numFmtId="1" fontId="61" fillId="0" borderId="8" xfId="0" applyNumberFormat="1" applyFont="1" applyFill="1" applyBorder="1" applyAlignment="1">
      <alignment horizontal="right" vertical="top" shrinkToFit="1"/>
    </xf>
    <xf numFmtId="2" fontId="61" fillId="0" borderId="8" xfId="0" applyNumberFormat="1" applyFont="1" applyFill="1" applyBorder="1" applyAlignment="1">
      <alignment horizontal="left" vertical="top" shrinkToFit="1"/>
    </xf>
    <xf numFmtId="1" fontId="61" fillId="0" borderId="8" xfId="0" applyNumberFormat="1" applyFont="1" applyFill="1" applyBorder="1" applyAlignment="1">
      <alignment horizontal="left" vertical="top" shrinkToFit="1"/>
    </xf>
    <xf numFmtId="0" fontId="58" fillId="0" borderId="8" xfId="0" applyFont="1" applyFill="1" applyBorder="1" applyAlignment="1">
      <alignment horizontal="center" vertical="top" wrapText="1"/>
    </xf>
    <xf numFmtId="2" fontId="61" fillId="0" borderId="8" xfId="0" applyNumberFormat="1" applyFont="1" applyFill="1" applyBorder="1" applyAlignment="1">
      <alignment horizontal="right" vertical="top" shrinkToFit="1"/>
    </xf>
    <xf numFmtId="0" fontId="64" fillId="0" borderId="28" xfId="0" applyFont="1" applyFill="1" applyBorder="1" applyAlignment="1">
      <alignment horizontal="left" vertical="top" wrapText="1"/>
    </xf>
    <xf numFmtId="0" fontId="0" fillId="0" borderId="28" xfId="0" applyFill="1" applyBorder="1" applyAlignment="1">
      <alignment horizontal="left" vertical="top" wrapText="1"/>
    </xf>
    <xf numFmtId="2" fontId="61" fillId="0" borderId="28" xfId="0" applyNumberFormat="1" applyFont="1" applyFill="1" applyBorder="1" applyAlignment="1">
      <alignment horizontal="left" vertical="top" shrinkToFit="1"/>
    </xf>
    <xf numFmtId="1" fontId="61" fillId="0" borderId="28" xfId="0" applyNumberFormat="1" applyFont="1" applyFill="1" applyBorder="1" applyAlignment="1">
      <alignment horizontal="left" vertical="top" shrinkToFit="1"/>
    </xf>
    <xf numFmtId="0" fontId="58" fillId="0" borderId="28" xfId="0" applyFont="1" applyFill="1" applyBorder="1" applyAlignment="1">
      <alignment horizontal="center" vertical="top" wrapText="1"/>
    </xf>
    <xf numFmtId="2" fontId="61" fillId="0" borderId="28" xfId="0" applyNumberFormat="1" applyFont="1" applyFill="1" applyBorder="1" applyAlignment="1">
      <alignment horizontal="right" vertical="top" shrinkToFit="1"/>
    </xf>
    <xf numFmtId="2" fontId="61" fillId="0" borderId="28" xfId="0" applyNumberFormat="1" applyFont="1" applyFill="1" applyBorder="1" applyAlignment="1">
      <alignment horizontal="left" vertical="top" indent="2" shrinkToFit="1"/>
    </xf>
    <xf numFmtId="0" fontId="0" fillId="0" borderId="28" xfId="0" applyFill="1" applyBorder="1" applyAlignment="1">
      <alignment horizontal="left" wrapText="1"/>
    </xf>
    <xf numFmtId="2" fontId="61" fillId="0" borderId="28" xfId="0" applyNumberFormat="1" applyFont="1" applyFill="1" applyBorder="1" applyAlignment="1">
      <alignment horizontal="left" vertical="center" shrinkToFit="1"/>
    </xf>
    <xf numFmtId="1" fontId="61" fillId="0" borderId="28" xfId="0" applyNumberFormat="1" applyFont="1" applyFill="1" applyBorder="1" applyAlignment="1">
      <alignment horizontal="left" vertical="center" shrinkToFit="1"/>
    </xf>
    <xf numFmtId="0" fontId="58" fillId="0" borderId="28" xfId="0" applyFont="1" applyFill="1" applyBorder="1" applyAlignment="1">
      <alignment horizontal="center" vertical="center" wrapText="1"/>
    </xf>
    <xf numFmtId="2" fontId="61" fillId="0" borderId="28" xfId="0" applyNumberFormat="1" applyFont="1" applyFill="1" applyBorder="1" applyAlignment="1">
      <alignment horizontal="right" vertical="center" shrinkToFit="1"/>
    </xf>
    <xf numFmtId="1" fontId="61" fillId="0" borderId="31" xfId="0" applyNumberFormat="1" applyFont="1" applyFill="1" applyBorder="1" applyAlignment="1">
      <alignment horizontal="right" vertical="top" shrinkToFit="1"/>
    </xf>
    <xf numFmtId="2" fontId="61" fillId="0" borderId="31" xfId="0" applyNumberFormat="1" applyFont="1" applyFill="1" applyBorder="1" applyAlignment="1">
      <alignment horizontal="left" vertical="top" shrinkToFit="1"/>
    </xf>
    <xf numFmtId="1" fontId="61" fillId="0" borderId="31" xfId="0" applyNumberFormat="1" applyFont="1" applyFill="1" applyBorder="1" applyAlignment="1">
      <alignment horizontal="left" vertical="top" shrinkToFit="1"/>
    </xf>
    <xf numFmtId="0" fontId="58" fillId="0" borderId="31" xfId="0" applyFont="1" applyFill="1" applyBorder="1" applyAlignment="1">
      <alignment horizontal="center" vertical="top" wrapText="1"/>
    </xf>
    <xf numFmtId="2" fontId="61" fillId="0" borderId="31" xfId="0" applyNumberFormat="1" applyFont="1" applyFill="1" applyBorder="1" applyAlignment="1">
      <alignment horizontal="right" vertical="top" shrinkToFit="1"/>
    </xf>
    <xf numFmtId="2" fontId="61" fillId="0" borderId="28" xfId="0" applyNumberFormat="1" applyFont="1" applyFill="1" applyBorder="1" applyAlignment="1">
      <alignment horizontal="left" indent="1" shrinkToFit="1"/>
    </xf>
    <xf numFmtId="1" fontId="61" fillId="0" borderId="28" xfId="0" applyNumberFormat="1" applyFont="1" applyFill="1" applyBorder="1" applyAlignment="1">
      <alignment horizontal="left" indent="1" shrinkToFit="1"/>
    </xf>
    <xf numFmtId="2" fontId="61" fillId="0" borderId="28" xfId="0" applyNumberFormat="1" applyFont="1" applyFill="1" applyBorder="1" applyAlignment="1">
      <alignment horizontal="left" shrinkToFit="1"/>
    </xf>
    <xf numFmtId="0" fontId="58" fillId="0" borderId="28" xfId="0" applyFont="1" applyFill="1" applyBorder="1" applyAlignment="1">
      <alignment horizontal="center" wrapText="1"/>
    </xf>
    <xf numFmtId="0" fontId="58" fillId="0" borderId="28" xfId="0" applyFont="1" applyFill="1" applyBorder="1" applyAlignment="1">
      <alignment horizontal="left" wrapText="1" indent="1"/>
    </xf>
    <xf numFmtId="1" fontId="61" fillId="0" borderId="28" xfId="0" applyNumberFormat="1" applyFont="1" applyFill="1" applyBorder="1" applyAlignment="1">
      <alignment horizontal="left" shrinkToFit="1"/>
    </xf>
    <xf numFmtId="2" fontId="61" fillId="0" borderId="28" xfId="0" applyNumberFormat="1" applyFont="1" applyFill="1" applyBorder="1" applyAlignment="1">
      <alignment horizontal="right" shrinkToFit="1"/>
    </xf>
    <xf numFmtId="0" fontId="58" fillId="0" borderId="28" xfId="0" applyFont="1" applyFill="1" applyBorder="1" applyAlignment="1">
      <alignment horizontal="left" vertical="center" wrapText="1"/>
    </xf>
    <xf numFmtId="1" fontId="63" fillId="0" borderId="31" xfId="0" applyNumberFormat="1" applyFont="1" applyFill="1" applyBorder="1" applyAlignment="1">
      <alignment horizontal="right" vertical="top" shrinkToFit="1"/>
    </xf>
    <xf numFmtId="1" fontId="63" fillId="0" borderId="31" xfId="0" applyNumberFormat="1" applyFont="1" applyFill="1" applyBorder="1" applyAlignment="1">
      <alignment horizontal="center" vertical="top" shrinkToFit="1"/>
    </xf>
    <xf numFmtId="1" fontId="63" fillId="12" borderId="31" xfId="0" applyNumberFormat="1" applyFont="1" applyFill="1" applyBorder="1" applyAlignment="1">
      <alignment horizontal="center" vertical="top" shrinkToFit="1"/>
    </xf>
    <xf numFmtId="1" fontId="63" fillId="0" borderId="31" xfId="0" applyNumberFormat="1" applyFont="1" applyFill="1" applyBorder="1" applyAlignment="1">
      <alignment horizontal="left" vertical="top" indent="1" shrinkToFit="1"/>
    </xf>
    <xf numFmtId="0" fontId="58" fillId="0" borderId="28" xfId="0" applyFont="1" applyFill="1" applyBorder="1" applyAlignment="1">
      <alignment horizontal="right" vertical="center" wrapText="1"/>
    </xf>
    <xf numFmtId="0" fontId="58" fillId="0" borderId="28" xfId="0" applyFont="1" applyFill="1" applyBorder="1" applyAlignment="1">
      <alignment horizontal="left" wrapText="1"/>
    </xf>
    <xf numFmtId="0" fontId="58" fillId="0" borderId="31" xfId="0" applyFont="1" applyFill="1" applyBorder="1" applyAlignment="1">
      <alignment horizontal="right" vertical="top" wrapText="1"/>
    </xf>
    <xf numFmtId="0" fontId="0" fillId="0" borderId="8" xfId="0" applyFill="1" applyBorder="1" applyAlignment="1">
      <alignment horizontal="left" vertical="top" wrapText="1"/>
    </xf>
    <xf numFmtId="2" fontId="61" fillId="0" borderId="8" xfId="0" applyNumberFormat="1" applyFont="1" applyFill="1" applyBorder="1" applyAlignment="1">
      <alignment horizontal="left" shrinkToFit="1"/>
    </xf>
    <xf numFmtId="1" fontId="61" fillId="0" borderId="8" xfId="0" applyNumberFormat="1" applyFont="1" applyFill="1" applyBorder="1" applyAlignment="1">
      <alignment horizontal="left" indent="2" shrinkToFit="1"/>
    </xf>
    <xf numFmtId="2" fontId="61" fillId="0" borderId="8" xfId="0" applyNumberFormat="1" applyFont="1" applyFill="1" applyBorder="1" applyAlignment="1">
      <alignment horizontal="right" shrinkToFit="1"/>
    </xf>
    <xf numFmtId="2" fontId="61" fillId="0" borderId="8" xfId="0" applyNumberFormat="1" applyFont="1" applyFill="1" applyBorder="1" applyAlignment="1">
      <alignment horizontal="center" shrinkToFit="1"/>
    </xf>
    <xf numFmtId="0" fontId="58" fillId="0" borderId="8" xfId="0" applyFont="1" applyFill="1" applyBorder="1" applyAlignment="1">
      <alignment horizontal="center" wrapText="1"/>
    </xf>
    <xf numFmtId="0" fontId="58" fillId="0" borderId="8" xfId="0" applyFont="1" applyFill="1" applyBorder="1" applyAlignment="1">
      <alignment horizontal="left" vertical="center" wrapText="1"/>
    </xf>
    <xf numFmtId="2" fontId="61" fillId="0" borderId="28" xfId="0" applyNumberFormat="1" applyFont="1" applyFill="1" applyBorder="1" applyAlignment="1">
      <alignment horizontal="center" shrinkToFit="1"/>
    </xf>
    <xf numFmtId="0" fontId="64" fillId="0" borderId="28" xfId="0" applyFont="1" applyFill="1" applyBorder="1" applyAlignment="1">
      <alignment horizontal="left" wrapText="1"/>
    </xf>
    <xf numFmtId="2" fontId="66" fillId="0" borderId="28" xfId="0" applyNumberFormat="1" applyFont="1" applyFill="1" applyBorder="1" applyAlignment="1">
      <alignment horizontal="left" shrinkToFit="1"/>
    </xf>
    <xf numFmtId="2" fontId="67" fillId="0" borderId="23" xfId="0" applyNumberFormat="1" applyFont="1" applyFill="1" applyBorder="1" applyAlignment="1">
      <alignment horizontal="left" indent="1" shrinkToFit="1"/>
    </xf>
    <xf numFmtId="0" fontId="0" fillId="0" borderId="23" xfId="0" applyFill="1" applyBorder="1" applyAlignment="1">
      <alignment horizontal="left" vertical="top" wrapText="1"/>
    </xf>
    <xf numFmtId="0" fontId="0" fillId="0" borderId="23" xfId="0" applyNumberFormat="1" applyFill="1" applyBorder="1" applyAlignment="1">
      <alignment horizontal="left" vertical="top" wrapText="1"/>
    </xf>
    <xf numFmtId="0" fontId="59" fillId="0" borderId="23" xfId="0" applyFont="1" applyFill="1" applyBorder="1" applyAlignment="1">
      <alignment vertical="top" wrapText="1"/>
    </xf>
    <xf numFmtId="0" fontId="0" fillId="0" borderId="23" xfId="0" applyFill="1" applyBorder="1" applyAlignment="1">
      <alignment vertical="top" wrapText="1"/>
    </xf>
    <xf numFmtId="0" fontId="68" fillId="0" borderId="23" xfId="0" applyFont="1" applyFill="1" applyBorder="1" applyAlignment="1">
      <alignment horizontal="left" vertical="top"/>
    </xf>
    <xf numFmtId="0" fontId="69" fillId="0" borderId="23" xfId="0" applyFont="1" applyFill="1" applyBorder="1" applyAlignment="1">
      <alignment horizontal="left" vertical="top"/>
    </xf>
    <xf numFmtId="0" fontId="69" fillId="0" borderId="23" xfId="0" applyFont="1" applyFill="1" applyBorder="1" applyAlignment="1">
      <alignment horizontal="left" vertical="top" wrapText="1"/>
    </xf>
    <xf numFmtId="0" fontId="70" fillId="0" borderId="6" xfId="0" applyFont="1" applyBorder="1"/>
    <xf numFmtId="10" fontId="70" fillId="0" borderId="6" xfId="0" applyNumberFormat="1" applyFont="1" applyBorder="1"/>
    <xf numFmtId="4" fontId="70" fillId="0" borderId="6" xfId="0" applyNumberFormat="1" applyFont="1" applyBorder="1"/>
    <xf numFmtId="0" fontId="0" fillId="0" borderId="0" xfId="0" applyFont="1" applyAlignment="1"/>
    <xf numFmtId="2" fontId="0" fillId="0" borderId="0" xfId="0" applyNumberFormat="1" applyFont="1" applyAlignment="1"/>
    <xf numFmtId="0" fontId="71" fillId="0" borderId="6" xfId="0" applyFont="1" applyBorder="1" applyAlignment="1"/>
    <xf numFmtId="164" fontId="71" fillId="0" borderId="6" xfId="0" applyNumberFormat="1" applyFont="1" applyBorder="1"/>
    <xf numFmtId="164" fontId="0" fillId="0" borderId="0" xfId="0" applyNumberFormat="1" applyFont="1" applyAlignment="1"/>
    <xf numFmtId="10" fontId="0" fillId="0" borderId="0" xfId="0" applyNumberFormat="1" applyFont="1" applyAlignment="1"/>
    <xf numFmtId="43" fontId="0" fillId="0" borderId="0" xfId="1" applyFont="1" applyAlignment="1"/>
    <xf numFmtId="0" fontId="0" fillId="0" borderId="23" xfId="0" applyFont="1" applyBorder="1" applyAlignment="1"/>
    <xf numFmtId="0" fontId="0" fillId="0" borderId="35" xfId="0" applyFont="1" applyFill="1" applyBorder="1" applyAlignment="1"/>
    <xf numFmtId="0" fontId="5" fillId="0" borderId="23" xfId="0" applyFont="1" applyBorder="1" applyAlignment="1">
      <alignment wrapText="1"/>
    </xf>
    <xf numFmtId="0" fontId="7" fillId="0" borderId="0" xfId="0" applyFont="1" applyAlignment="1">
      <alignment horizontal="left" vertical="center" wrapText="1"/>
    </xf>
    <xf numFmtId="0" fontId="0" fillId="0" borderId="0" xfId="0" applyFont="1" applyAlignment="1"/>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8" xfId="0" applyFont="1" applyBorder="1" applyAlignment="1">
      <alignment horizontal="left" vertical="center" wrapText="1"/>
    </xf>
    <xf numFmtId="0" fontId="2" fillId="0" borderId="7" xfId="0" applyFont="1" applyBorder="1"/>
    <xf numFmtId="0" fontId="2" fillId="0" borderId="9" xfId="0" applyFont="1" applyBorder="1"/>
    <xf numFmtId="0" fontId="0" fillId="0" borderId="3" xfId="0" applyFont="1"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9" borderId="12" xfId="0" applyFont="1" applyFill="1" applyBorder="1" applyAlignment="1">
      <alignment horizontal="center" vertical="center" wrapText="1"/>
    </xf>
    <xf numFmtId="0" fontId="2" fillId="0" borderId="13" xfId="0" applyFont="1" applyBorder="1"/>
    <xf numFmtId="0" fontId="8" fillId="0" borderId="0" xfId="0" applyFont="1" applyAlignment="1">
      <alignment horizontal="center"/>
    </xf>
    <xf numFmtId="0" fontId="12" fillId="0" borderId="2" xfId="0" applyFont="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18" fillId="0" borderId="21" xfId="0" applyFont="1" applyBorder="1" applyAlignment="1">
      <alignment horizontal="center" vertical="center" wrapText="1"/>
    </xf>
    <xf numFmtId="0" fontId="2" fillId="0" borderId="22" xfId="0" applyFont="1" applyBorder="1"/>
    <xf numFmtId="0" fontId="21" fillId="0" borderId="0" xfId="0" applyFont="1" applyAlignment="1">
      <alignment horizontal="center" wrapText="1"/>
    </xf>
    <xf numFmtId="0" fontId="18" fillId="0" borderId="2" xfId="0" applyFont="1" applyBorder="1" applyAlignment="1">
      <alignment horizontal="center" vertical="center" wrapText="1"/>
    </xf>
    <xf numFmtId="0" fontId="5" fillId="6" borderId="14" xfId="0" applyFont="1" applyFill="1" applyBorder="1" applyAlignment="1">
      <alignment horizontal="center"/>
    </xf>
    <xf numFmtId="0" fontId="2" fillId="0" borderId="15" xfId="0" applyFont="1" applyBorder="1"/>
    <xf numFmtId="0" fontId="2" fillId="0" borderId="16" xfId="0" applyFont="1" applyBorder="1"/>
    <xf numFmtId="0" fontId="20" fillId="0" borderId="2" xfId="0" applyFont="1" applyBorder="1" applyAlignment="1">
      <alignment horizontal="center" vertical="center" wrapText="1"/>
    </xf>
    <xf numFmtId="0" fontId="18" fillId="5" borderId="2" xfId="0" applyFont="1" applyFill="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2" fillId="0" borderId="25" xfId="0" applyFont="1" applyBorder="1"/>
    <xf numFmtId="0" fontId="5" fillId="0" borderId="0" xfId="0" applyFont="1" applyAlignment="1">
      <alignment horizontal="center" wrapText="1"/>
    </xf>
    <xf numFmtId="0" fontId="31" fillId="0" borderId="0" xfId="0" applyFont="1" applyAlignment="1">
      <alignment horizontal="center" wrapText="1"/>
    </xf>
    <xf numFmtId="0" fontId="15" fillId="8" borderId="8"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2" fillId="0" borderId="27" xfId="0" applyFont="1" applyBorder="1"/>
    <xf numFmtId="0" fontId="26" fillId="5" borderId="26" xfId="0" applyFont="1" applyFill="1" applyBorder="1" applyAlignment="1">
      <alignment horizontal="center"/>
    </xf>
    <xf numFmtId="0" fontId="26" fillId="5" borderId="14" xfId="0" applyFont="1" applyFill="1" applyBorder="1" applyAlignment="1">
      <alignment horizontal="center"/>
    </xf>
    <xf numFmtId="0" fontId="32" fillId="0" borderId="0" xfId="0" applyFont="1" applyAlignment="1">
      <alignment horizontal="center" wrapText="1"/>
    </xf>
    <xf numFmtId="0" fontId="8" fillId="0" borderId="29" xfId="0" applyFont="1" applyBorder="1" applyAlignment="1">
      <alignment horizontal="center"/>
    </xf>
    <xf numFmtId="0" fontId="41" fillId="0" borderId="0" xfId="0" applyFont="1" applyAlignment="1">
      <alignment horizontal="center" wrapText="1"/>
    </xf>
    <xf numFmtId="0" fontId="18" fillId="0" borderId="2" xfId="0" applyFont="1" applyBorder="1" applyAlignment="1">
      <alignment horizontal="center" wrapText="1"/>
    </xf>
    <xf numFmtId="0" fontId="20" fillId="0" borderId="0" xfId="0" applyFont="1" applyAlignment="1">
      <alignment horizontal="center" wrapText="1"/>
    </xf>
    <xf numFmtId="0" fontId="51" fillId="0" borderId="0" xfId="0" applyFont="1" applyAlignment="1">
      <alignment horizontal="center" wrapText="1"/>
    </xf>
    <xf numFmtId="0" fontId="7" fillId="0" borderId="0" xfId="0" applyFont="1" applyAlignment="1">
      <alignment horizontal="center"/>
    </xf>
    <xf numFmtId="0" fontId="8" fillId="0" borderId="36" xfId="0" applyFont="1" applyBorder="1" applyAlignment="1">
      <alignment horizontal="center"/>
    </xf>
    <xf numFmtId="0" fontId="21" fillId="0" borderId="0" xfId="0" applyFont="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4" fontId="17" fillId="0" borderId="2" xfId="0" applyNumberFormat="1" applyFont="1" applyBorder="1" applyAlignment="1">
      <alignment horizontal="center"/>
    </xf>
    <xf numFmtId="4" fontId="17" fillId="0" borderId="0" xfId="0" applyNumberFormat="1" applyFont="1" applyAlignment="1">
      <alignment horizontal="center"/>
    </xf>
    <xf numFmtId="2" fontId="17" fillId="0" borderId="2" xfId="0" applyNumberFormat="1" applyFont="1" applyBorder="1" applyAlignment="1">
      <alignment horizontal="center"/>
    </xf>
    <xf numFmtId="10" fontId="18" fillId="0" borderId="2" xfId="0" applyNumberFormat="1" applyFont="1" applyBorder="1" applyAlignment="1">
      <alignment horizontal="center"/>
    </xf>
    <xf numFmtId="0" fontId="52" fillId="9" borderId="8" xfId="0" applyFont="1" applyFill="1" applyBorder="1" applyAlignment="1">
      <alignment vertical="center"/>
    </xf>
    <xf numFmtId="0" fontId="23" fillId="0" borderId="2" xfId="0" applyFont="1" applyBorder="1" applyAlignment="1">
      <alignment horizontal="center"/>
    </xf>
    <xf numFmtId="0" fontId="53" fillId="9" borderId="8" xfId="0" applyFont="1" applyFill="1" applyBorder="1" applyAlignment="1">
      <alignment horizontal="left" vertical="center"/>
    </xf>
    <xf numFmtId="0" fontId="22" fillId="0" borderId="2" xfId="0" applyFont="1" applyBorder="1" applyAlignment="1">
      <alignment horizontal="center"/>
    </xf>
    <xf numFmtId="0" fontId="8" fillId="0" borderId="1" xfId="0" applyFont="1" applyBorder="1" applyAlignment="1">
      <alignment horizontal="center"/>
    </xf>
    <xf numFmtId="0" fontId="0" fillId="0" borderId="0" xfId="0" applyFont="1" applyAlignment="1">
      <alignment horizontal="center"/>
    </xf>
    <xf numFmtId="0" fontId="0" fillId="0" borderId="8" xfId="0" applyFont="1" applyBorder="1" applyAlignment="1">
      <alignment horizontal="center" vertical="center"/>
    </xf>
    <xf numFmtId="0" fontId="8" fillId="0" borderId="2" xfId="0" applyFont="1" applyBorder="1" applyAlignment="1">
      <alignment horizontal="center"/>
    </xf>
    <xf numFmtId="0" fontId="5" fillId="0" borderId="8" xfId="0" applyFont="1" applyBorder="1" applyAlignment="1">
      <alignment horizontal="center" vertical="center" wrapText="1"/>
    </xf>
    <xf numFmtId="0" fontId="52" fillId="9" borderId="8" xfId="0" applyFont="1" applyFill="1" applyBorder="1" applyAlignment="1">
      <alignment horizontal="left" vertical="center"/>
    </xf>
    <xf numFmtId="0" fontId="0" fillId="0" borderId="23" xfId="0" applyFill="1" applyBorder="1" applyAlignment="1">
      <alignment horizontal="left" vertical="top" wrapText="1" indent="1"/>
    </xf>
    <xf numFmtId="0" fontId="56" fillId="0" borderId="23" xfId="0" applyFont="1" applyFill="1" applyBorder="1" applyAlignment="1">
      <alignment horizontal="left" vertical="top" wrapText="1" indent="48"/>
    </xf>
    <xf numFmtId="0" fontId="58" fillId="0" borderId="8" xfId="0" applyFont="1" applyFill="1" applyBorder="1" applyAlignment="1">
      <alignment horizontal="left" vertical="top" wrapText="1"/>
    </xf>
    <xf numFmtId="0" fontId="58" fillId="0" borderId="28" xfId="0" applyFont="1" applyFill="1" applyBorder="1" applyAlignment="1">
      <alignment horizontal="left" vertical="top" wrapText="1"/>
    </xf>
    <xf numFmtId="0" fontId="58" fillId="0" borderId="31" xfId="0" applyFont="1" applyFill="1" applyBorder="1" applyAlignment="1">
      <alignment horizontal="left" vertical="top" wrapText="1"/>
    </xf>
    <xf numFmtId="0" fontId="0" fillId="0" borderId="8" xfId="0" applyFill="1" applyBorder="1" applyAlignment="1">
      <alignment horizontal="center" vertical="top" wrapText="1"/>
    </xf>
    <xf numFmtId="0" fontId="0" fillId="0" borderId="28" xfId="0" applyFill="1" applyBorder="1" applyAlignment="1">
      <alignment horizontal="center" vertical="top" wrapText="1"/>
    </xf>
    <xf numFmtId="0" fontId="58" fillId="0" borderId="8" xfId="0" applyFont="1" applyFill="1" applyBorder="1" applyAlignment="1">
      <alignment horizontal="center" vertical="top" wrapText="1"/>
    </xf>
    <xf numFmtId="0" fontId="58" fillId="0" borderId="28" xfId="0" applyFont="1" applyFill="1" applyBorder="1" applyAlignment="1">
      <alignment horizontal="center" vertical="top" wrapText="1"/>
    </xf>
    <xf numFmtId="0" fontId="0" fillId="0" borderId="8" xfId="0" applyFill="1" applyBorder="1" applyAlignment="1">
      <alignment horizontal="left" vertical="top" wrapText="1"/>
    </xf>
    <xf numFmtId="0" fontId="0" fillId="0" borderId="28" xfId="0" applyFill="1" applyBorder="1" applyAlignment="1">
      <alignment horizontal="left" vertical="top" wrapText="1"/>
    </xf>
    <xf numFmtId="0" fontId="58" fillId="0" borderId="35" xfId="0" applyFont="1" applyFill="1" applyBorder="1" applyAlignment="1">
      <alignment horizontal="left" vertical="top" wrapText="1" indent="3"/>
    </xf>
    <xf numFmtId="0" fontId="58" fillId="0" borderId="11" xfId="0" applyFont="1" applyFill="1" applyBorder="1" applyAlignment="1">
      <alignment horizontal="left" vertical="top" wrapText="1" indent="3"/>
    </xf>
    <xf numFmtId="0" fontId="58" fillId="0" borderId="28" xfId="0" applyFont="1" applyFill="1" applyBorder="1" applyAlignment="1">
      <alignment horizontal="left" vertical="center" wrapText="1"/>
    </xf>
    <xf numFmtId="0" fontId="58" fillId="0" borderId="31" xfId="0" applyFont="1" applyFill="1" applyBorder="1" applyAlignment="1">
      <alignment horizontal="left" vertical="center" wrapText="1"/>
    </xf>
    <xf numFmtId="0" fontId="58" fillId="0" borderId="35" xfId="0" applyFont="1" applyFill="1" applyBorder="1" applyAlignment="1">
      <alignment horizontal="center" vertical="top" wrapText="1"/>
    </xf>
    <xf numFmtId="0" fontId="58" fillId="0" borderId="11" xfId="0" applyFont="1" applyFill="1" applyBorder="1" applyAlignment="1">
      <alignment horizontal="center" vertical="top" wrapText="1"/>
    </xf>
    <xf numFmtId="1" fontId="61" fillId="0" borderId="8" xfId="0" applyNumberFormat="1" applyFont="1" applyFill="1" applyBorder="1" applyAlignment="1">
      <alignment horizontal="left" vertical="center" shrinkToFit="1"/>
    </xf>
    <xf numFmtId="1" fontId="61" fillId="0" borderId="28" xfId="0" applyNumberFormat="1" applyFont="1" applyFill="1" applyBorder="1" applyAlignment="1">
      <alignment horizontal="left" vertical="center" shrinkToFit="1"/>
    </xf>
    <xf numFmtId="1" fontId="61" fillId="0" borderId="31" xfId="0" applyNumberFormat="1" applyFont="1" applyFill="1" applyBorder="1" applyAlignment="1">
      <alignment horizontal="left" vertical="center" shrinkToFit="1"/>
    </xf>
    <xf numFmtId="0" fontId="0" fillId="0" borderId="8" xfId="0" applyFill="1" applyBorder="1" applyAlignment="1">
      <alignment horizontal="left" vertical="center" wrapText="1"/>
    </xf>
    <xf numFmtId="0" fontId="0" fillId="0" borderId="28" xfId="0" applyFill="1" applyBorder="1" applyAlignment="1">
      <alignment horizontal="left" vertical="center" wrapText="1"/>
    </xf>
    <xf numFmtId="0" fontId="0" fillId="0" borderId="31" xfId="0" applyFill="1" applyBorder="1" applyAlignment="1">
      <alignment horizontal="left" vertical="center" wrapText="1"/>
    </xf>
    <xf numFmtId="2" fontId="61" fillId="0" borderId="8" xfId="0" applyNumberFormat="1" applyFont="1" applyFill="1" applyBorder="1" applyAlignment="1">
      <alignment horizontal="left" shrinkToFit="1"/>
    </xf>
    <xf numFmtId="2" fontId="61" fillId="0" borderId="28" xfId="0" applyNumberFormat="1" applyFont="1" applyFill="1" applyBorder="1" applyAlignment="1">
      <alignment horizontal="left" shrinkToFit="1"/>
    </xf>
    <xf numFmtId="2" fontId="61" fillId="0" borderId="31" xfId="0" applyNumberFormat="1" applyFont="1" applyFill="1" applyBorder="1" applyAlignment="1">
      <alignment horizontal="left" shrinkToFit="1"/>
    </xf>
    <xf numFmtId="1" fontId="61" fillId="0" borderId="8" xfId="0" applyNumberFormat="1" applyFont="1" applyFill="1" applyBorder="1" applyAlignment="1">
      <alignment horizontal="left" indent="2" shrinkToFit="1"/>
    </xf>
    <xf numFmtId="1" fontId="61" fillId="0" borderId="28" xfId="0" applyNumberFormat="1" applyFont="1" applyFill="1" applyBorder="1" applyAlignment="1">
      <alignment horizontal="left" indent="2" shrinkToFit="1"/>
    </xf>
    <xf numFmtId="1" fontId="61" fillId="0" borderId="31" xfId="0" applyNumberFormat="1" applyFont="1" applyFill="1" applyBorder="1" applyAlignment="1">
      <alignment horizontal="left" indent="2" shrinkToFit="1"/>
    </xf>
    <xf numFmtId="2" fontId="61" fillId="0" borderId="8" xfId="0" applyNumberFormat="1" applyFont="1" applyFill="1" applyBorder="1" applyAlignment="1">
      <alignment horizontal="left" indent="1" shrinkToFit="1"/>
    </xf>
    <xf numFmtId="2" fontId="61" fillId="0" borderId="28" xfId="0" applyNumberFormat="1" applyFont="1" applyFill="1" applyBorder="1" applyAlignment="1">
      <alignment horizontal="left" indent="1" shrinkToFit="1"/>
    </xf>
    <xf numFmtId="2" fontId="61" fillId="0" borderId="31" xfId="0" applyNumberFormat="1" applyFont="1" applyFill="1" applyBorder="1" applyAlignment="1">
      <alignment horizontal="left" indent="1" shrinkToFit="1"/>
    </xf>
    <xf numFmtId="0" fontId="58" fillId="0" borderId="35" xfId="0" applyFont="1" applyFill="1" applyBorder="1" applyAlignment="1">
      <alignment horizontal="left" wrapText="1"/>
    </xf>
    <xf numFmtId="0" fontId="58" fillId="0" borderId="11" xfId="0" applyFont="1" applyFill="1" applyBorder="1" applyAlignment="1">
      <alignment horizontal="left" wrapText="1"/>
    </xf>
    <xf numFmtId="2" fontId="61" fillId="0" borderId="8" xfId="0" applyNumberFormat="1" applyFont="1" applyFill="1" applyBorder="1" applyAlignment="1">
      <alignment horizontal="left" indent="2" shrinkToFit="1"/>
    </xf>
    <xf numFmtId="2" fontId="61" fillId="0" borderId="28" xfId="0" applyNumberFormat="1" applyFont="1" applyFill="1" applyBorder="1" applyAlignment="1">
      <alignment horizontal="left" indent="2" shrinkToFit="1"/>
    </xf>
    <xf numFmtId="2" fontId="61" fillId="0" borderId="31" xfId="0" applyNumberFormat="1" applyFont="1" applyFill="1" applyBorder="1" applyAlignment="1">
      <alignment horizontal="left" indent="2" shrinkToFit="1"/>
    </xf>
  </cellXfs>
  <cellStyles count="2">
    <cellStyle name="Comma" xfId="1" builtinId="3"/>
    <cellStyle name="Normal" xfId="0" builtinId="0"/>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22" workbookViewId="0">
      <selection activeCell="B17" sqref="B17"/>
    </sheetView>
  </sheetViews>
  <sheetFormatPr defaultColWidth="14.42578125" defaultRowHeight="15" customHeight="1"/>
  <cols>
    <col min="1" max="1" width="12.85546875" customWidth="1"/>
    <col min="2" max="2" width="56" customWidth="1"/>
    <col min="3" max="3" width="26.28515625" customWidth="1"/>
    <col min="4" max="4" width="20.7109375" customWidth="1"/>
    <col min="5" max="5" width="29.42578125" customWidth="1"/>
    <col min="6" max="11" width="9.140625" customWidth="1"/>
  </cols>
  <sheetData>
    <row r="1" spans="1:11" ht="26.25" customHeight="1">
      <c r="A1" s="379" t="s">
        <v>0</v>
      </c>
      <c r="B1" s="380"/>
      <c r="C1" s="380"/>
      <c r="D1" s="380"/>
      <c r="E1" s="380"/>
      <c r="F1" s="1"/>
      <c r="G1" s="1"/>
      <c r="H1" s="1"/>
      <c r="I1" s="1"/>
      <c r="J1" s="1"/>
      <c r="K1" s="1"/>
    </row>
    <row r="2" spans="1:11" ht="26.25" customHeight="1">
      <c r="A2" s="381" t="s">
        <v>1</v>
      </c>
      <c r="B2" s="382"/>
      <c r="C2" s="382"/>
      <c r="D2" s="382"/>
      <c r="E2" s="383"/>
      <c r="F2" s="1"/>
      <c r="G2" s="1"/>
      <c r="H2" s="1"/>
      <c r="I2" s="1"/>
      <c r="J2" s="1"/>
      <c r="K2" s="1"/>
    </row>
    <row r="3" spans="1:11" ht="23.25" customHeight="1">
      <c r="A3" s="384" t="s">
        <v>2</v>
      </c>
      <c r="B3" s="382"/>
      <c r="C3" s="382"/>
      <c r="D3" s="382"/>
      <c r="E3" s="383"/>
      <c r="F3" s="1"/>
      <c r="G3" s="1"/>
      <c r="H3" s="1"/>
      <c r="I3" s="1"/>
      <c r="J3" s="1"/>
      <c r="K3" s="1"/>
    </row>
    <row r="4" spans="1:11" ht="240.75" customHeight="1">
      <c r="A4" s="385" t="s">
        <v>3</v>
      </c>
      <c r="B4" s="382"/>
      <c r="C4" s="382"/>
      <c r="D4" s="382"/>
      <c r="E4" s="383"/>
      <c r="F4" s="1"/>
      <c r="G4" s="1"/>
      <c r="H4" s="1"/>
      <c r="I4" s="1"/>
      <c r="J4" s="1"/>
      <c r="K4" s="1"/>
    </row>
    <row r="5" spans="1:11" ht="23.25" customHeight="1">
      <c r="A5" s="384" t="s">
        <v>4</v>
      </c>
      <c r="B5" s="382"/>
      <c r="C5" s="382"/>
      <c r="D5" s="382"/>
      <c r="E5" s="383"/>
      <c r="F5" s="1"/>
      <c r="G5" s="1"/>
      <c r="H5" s="1"/>
      <c r="I5" s="1"/>
      <c r="J5" s="1"/>
      <c r="K5" s="1"/>
    </row>
    <row r="6" spans="1:11" ht="108" customHeight="1">
      <c r="A6" s="385" t="s">
        <v>5</v>
      </c>
      <c r="B6" s="382"/>
      <c r="C6" s="382"/>
      <c r="D6" s="382"/>
      <c r="E6" s="383"/>
      <c r="F6" s="1"/>
      <c r="G6" s="1"/>
      <c r="H6" s="1"/>
      <c r="I6" s="1"/>
      <c r="J6" s="1"/>
      <c r="K6" s="1"/>
    </row>
    <row r="7" spans="1:11" ht="23.25" customHeight="1">
      <c r="A7" s="390" t="s">
        <v>6</v>
      </c>
      <c r="B7" s="382"/>
      <c r="C7" s="382"/>
      <c r="D7" s="382"/>
      <c r="E7" s="383"/>
      <c r="F7" s="1"/>
      <c r="G7" s="1"/>
      <c r="H7" s="1"/>
      <c r="I7" s="1"/>
      <c r="J7" s="1"/>
      <c r="K7" s="1"/>
    </row>
    <row r="8" spans="1:11" ht="125.25" customHeight="1">
      <c r="A8" s="385" t="s">
        <v>7</v>
      </c>
      <c r="B8" s="382"/>
      <c r="C8" s="382"/>
      <c r="D8" s="382"/>
      <c r="E8" s="383"/>
      <c r="F8" s="1"/>
      <c r="G8" s="1"/>
      <c r="H8" s="1"/>
      <c r="I8" s="1"/>
      <c r="J8" s="1"/>
      <c r="K8" s="1"/>
    </row>
    <row r="9" spans="1:11">
      <c r="A9" s="384" t="s">
        <v>8</v>
      </c>
      <c r="B9" s="382"/>
      <c r="C9" s="382"/>
      <c r="D9" s="382"/>
      <c r="E9" s="383"/>
      <c r="F9" s="1"/>
      <c r="G9" s="1"/>
      <c r="H9" s="1"/>
      <c r="I9" s="1"/>
      <c r="J9" s="1"/>
      <c r="K9" s="1"/>
    </row>
    <row r="10" spans="1:11">
      <c r="A10" s="1" t="s">
        <v>9</v>
      </c>
      <c r="B10" s="1" t="s">
        <v>10</v>
      </c>
      <c r="C10" s="1"/>
      <c r="D10" s="1"/>
      <c r="E10" s="1"/>
      <c r="F10" s="1"/>
      <c r="G10" s="1"/>
      <c r="H10" s="1"/>
      <c r="I10" s="1"/>
      <c r="J10" s="1"/>
      <c r="K10" s="1"/>
    </row>
    <row r="11" spans="1:11" ht="20.25" customHeight="1">
      <c r="A11" s="2"/>
      <c r="B11" s="391" t="s">
        <v>11</v>
      </c>
      <c r="C11" s="382"/>
      <c r="D11" s="382"/>
      <c r="E11" s="383"/>
      <c r="F11" s="1"/>
      <c r="G11" s="1"/>
      <c r="H11" s="1"/>
      <c r="I11" s="1"/>
      <c r="J11" s="1"/>
      <c r="K11" s="1"/>
    </row>
    <row r="12" spans="1:11">
      <c r="A12" s="3"/>
      <c r="B12" s="391" t="s">
        <v>12</v>
      </c>
      <c r="C12" s="382"/>
      <c r="D12" s="382"/>
      <c r="E12" s="383"/>
      <c r="F12" s="1"/>
      <c r="G12" s="1"/>
      <c r="H12" s="1"/>
      <c r="I12" s="1"/>
      <c r="J12" s="1"/>
      <c r="K12" s="1"/>
    </row>
    <row r="13" spans="1:11">
      <c r="A13" s="389"/>
      <c r="B13" s="382"/>
      <c r="C13" s="382"/>
      <c r="D13" s="382"/>
      <c r="E13" s="383"/>
      <c r="F13" s="1"/>
      <c r="G13" s="1"/>
      <c r="H13" s="1"/>
      <c r="I13" s="1"/>
      <c r="J13" s="1"/>
      <c r="K13" s="1"/>
    </row>
    <row r="14" spans="1:11">
      <c r="A14" s="384" t="s">
        <v>13</v>
      </c>
      <c r="B14" s="382"/>
      <c r="C14" s="382"/>
      <c r="D14" s="382"/>
      <c r="E14" s="383"/>
      <c r="F14" s="1"/>
      <c r="G14" s="1"/>
      <c r="H14" s="1"/>
      <c r="I14" s="1"/>
      <c r="J14" s="1"/>
      <c r="K14" s="1"/>
    </row>
    <row r="15" spans="1:11">
      <c r="A15" s="4" t="s">
        <v>14</v>
      </c>
      <c r="B15" s="4" t="s">
        <v>15</v>
      </c>
      <c r="C15" s="4" t="s">
        <v>16</v>
      </c>
      <c r="D15" s="4" t="s">
        <v>17</v>
      </c>
      <c r="E15" s="4" t="s">
        <v>18</v>
      </c>
      <c r="F15" s="1"/>
      <c r="G15" s="1"/>
      <c r="H15" s="1"/>
      <c r="I15" s="1"/>
      <c r="J15" s="1"/>
      <c r="K15" s="1"/>
    </row>
    <row r="16" spans="1:11">
      <c r="A16" s="5" t="s">
        <v>19</v>
      </c>
      <c r="B16" s="5" t="s">
        <v>20</v>
      </c>
      <c r="C16" s="5"/>
      <c r="D16" s="5"/>
      <c r="E16" s="5"/>
      <c r="F16" s="1"/>
      <c r="G16" s="1"/>
      <c r="H16" s="1"/>
      <c r="I16" s="1"/>
      <c r="J16" s="1"/>
      <c r="K16" s="1"/>
    </row>
    <row r="17" spans="1:11" ht="60">
      <c r="A17" s="6" t="s">
        <v>21</v>
      </c>
      <c r="B17" s="7" t="s">
        <v>22</v>
      </c>
      <c r="C17" s="7" t="s">
        <v>23</v>
      </c>
      <c r="D17" s="7" t="s">
        <v>24</v>
      </c>
      <c r="E17" s="7"/>
      <c r="F17" s="1"/>
      <c r="G17" s="1"/>
      <c r="H17" s="1"/>
      <c r="I17" s="1"/>
      <c r="J17" s="1"/>
      <c r="K17" s="1"/>
    </row>
    <row r="18" spans="1:11" ht="90">
      <c r="A18" s="6" t="s">
        <v>25</v>
      </c>
      <c r="B18" s="7" t="s">
        <v>26</v>
      </c>
      <c r="C18" s="7" t="s">
        <v>27</v>
      </c>
      <c r="D18" s="7" t="s">
        <v>28</v>
      </c>
      <c r="E18" s="7"/>
      <c r="F18" s="1"/>
      <c r="G18" s="1"/>
      <c r="H18" s="1"/>
      <c r="I18" s="1"/>
      <c r="J18" s="1"/>
      <c r="K18" s="1"/>
    </row>
    <row r="19" spans="1:11" ht="26.25" customHeight="1">
      <c r="A19" s="6" t="s">
        <v>29</v>
      </c>
      <c r="B19" s="8" t="s">
        <v>30</v>
      </c>
      <c r="C19" s="7" t="s">
        <v>31</v>
      </c>
      <c r="D19" s="7" t="s">
        <v>32</v>
      </c>
      <c r="E19" s="7" t="s">
        <v>33</v>
      </c>
      <c r="F19" s="1"/>
      <c r="G19" s="1"/>
      <c r="H19" s="1"/>
      <c r="I19" s="1"/>
      <c r="J19" s="1"/>
      <c r="K19" s="1"/>
    </row>
    <row r="20" spans="1:11" ht="30">
      <c r="A20" s="6" t="s">
        <v>34</v>
      </c>
      <c r="B20" s="7" t="s">
        <v>35</v>
      </c>
      <c r="C20" s="7"/>
      <c r="D20" s="7"/>
      <c r="E20" s="7"/>
      <c r="F20" s="1"/>
      <c r="G20" s="1"/>
      <c r="H20" s="1"/>
      <c r="I20" s="1"/>
      <c r="J20" s="1"/>
      <c r="K20" s="1"/>
    </row>
    <row r="21" spans="1:11" ht="15.75" customHeight="1">
      <c r="A21" s="7">
        <v>4.0999999999999996</v>
      </c>
      <c r="B21" s="7" t="s">
        <v>36</v>
      </c>
      <c r="C21" s="386" t="s">
        <v>37</v>
      </c>
      <c r="D21" s="7" t="s">
        <v>38</v>
      </c>
      <c r="E21" s="7"/>
      <c r="F21" s="1"/>
      <c r="G21" s="1"/>
      <c r="H21" s="1"/>
      <c r="I21" s="1"/>
      <c r="J21" s="1"/>
      <c r="K21" s="1"/>
    </row>
    <row r="22" spans="1:11" ht="15.75" customHeight="1">
      <c r="A22" s="7">
        <v>4.2</v>
      </c>
      <c r="B22" s="7" t="s">
        <v>39</v>
      </c>
      <c r="C22" s="387"/>
      <c r="D22" s="7" t="s">
        <v>40</v>
      </c>
      <c r="E22" s="7"/>
      <c r="F22" s="1"/>
      <c r="G22" s="1"/>
      <c r="H22" s="1"/>
      <c r="I22" s="1"/>
      <c r="J22" s="1"/>
      <c r="K22" s="1"/>
    </row>
    <row r="23" spans="1:11" ht="15.75" customHeight="1">
      <c r="A23" s="7">
        <v>4.3</v>
      </c>
      <c r="B23" s="7" t="s">
        <v>41</v>
      </c>
      <c r="C23" s="387"/>
      <c r="D23" s="7" t="s">
        <v>42</v>
      </c>
      <c r="E23" s="7"/>
      <c r="F23" s="1"/>
      <c r="G23" s="1"/>
      <c r="H23" s="1"/>
      <c r="I23" s="1"/>
      <c r="J23" s="1"/>
      <c r="K23" s="1"/>
    </row>
    <row r="24" spans="1:11" ht="15.75" customHeight="1">
      <c r="A24" s="7">
        <v>4.4000000000000004</v>
      </c>
      <c r="B24" s="7" t="s">
        <v>43</v>
      </c>
      <c r="C24" s="387"/>
      <c r="D24" s="7" t="s">
        <v>44</v>
      </c>
      <c r="E24" s="7"/>
      <c r="F24" s="1"/>
      <c r="G24" s="1"/>
      <c r="H24" s="1"/>
      <c r="I24" s="1"/>
      <c r="J24" s="1"/>
      <c r="K24" s="1"/>
    </row>
    <row r="25" spans="1:11" ht="15.75" customHeight="1">
      <c r="A25" s="7">
        <v>4.5</v>
      </c>
      <c r="B25" s="7" t="s">
        <v>45</v>
      </c>
      <c r="C25" s="387"/>
      <c r="D25" s="7" t="s">
        <v>46</v>
      </c>
      <c r="E25" s="7"/>
      <c r="F25" s="1"/>
      <c r="G25" s="1"/>
      <c r="H25" s="1"/>
      <c r="I25" s="1"/>
      <c r="J25" s="1"/>
      <c r="K25" s="1"/>
    </row>
    <row r="26" spans="1:11" ht="15.75" customHeight="1">
      <c r="A26" s="7">
        <v>4.5999999999999996</v>
      </c>
      <c r="B26" s="7" t="s">
        <v>47</v>
      </c>
      <c r="C26" s="388"/>
      <c r="D26" s="7" t="s">
        <v>48</v>
      </c>
      <c r="E26" s="7"/>
      <c r="F26" s="1"/>
      <c r="G26" s="1"/>
      <c r="H26" s="1"/>
      <c r="I26" s="1"/>
      <c r="J26" s="1"/>
      <c r="K26" s="1"/>
    </row>
    <row r="27" spans="1:11" ht="15.75" customHeight="1">
      <c r="A27" s="6" t="s">
        <v>49</v>
      </c>
      <c r="B27" s="7" t="s">
        <v>50</v>
      </c>
      <c r="C27" s="7" t="s">
        <v>51</v>
      </c>
      <c r="D27" s="7" t="s">
        <v>52</v>
      </c>
      <c r="E27" s="7"/>
      <c r="F27" s="1"/>
      <c r="G27" s="1"/>
      <c r="H27" s="1"/>
      <c r="I27" s="1"/>
      <c r="J27" s="1"/>
      <c r="K27" s="1"/>
    </row>
    <row r="28" spans="1:11" ht="15.75" customHeight="1">
      <c r="A28" s="6" t="s">
        <v>53</v>
      </c>
      <c r="B28" s="7" t="s">
        <v>54</v>
      </c>
      <c r="C28" s="7" t="s">
        <v>55</v>
      </c>
      <c r="D28" s="7" t="s">
        <v>56</v>
      </c>
      <c r="E28" s="7"/>
      <c r="F28" s="1"/>
      <c r="G28" s="1"/>
      <c r="H28" s="1"/>
      <c r="I28" s="1"/>
      <c r="J28" s="1"/>
      <c r="K28" s="1"/>
    </row>
    <row r="29" spans="1:11" ht="15.75" customHeight="1">
      <c r="A29" s="6" t="s">
        <v>57</v>
      </c>
      <c r="B29" s="7" t="s">
        <v>58</v>
      </c>
      <c r="C29" s="7" t="s">
        <v>59</v>
      </c>
      <c r="D29" s="7" t="s">
        <v>60</v>
      </c>
      <c r="E29" s="7"/>
      <c r="F29" s="1"/>
      <c r="G29" s="1"/>
      <c r="H29" s="1"/>
      <c r="I29" s="1"/>
      <c r="J29" s="1"/>
      <c r="K29" s="1"/>
    </row>
    <row r="30" spans="1:11" ht="15.75" customHeight="1">
      <c r="A30" s="5" t="s">
        <v>61</v>
      </c>
      <c r="B30" s="9" t="s">
        <v>62</v>
      </c>
      <c r="C30" s="5"/>
      <c r="D30" s="5"/>
      <c r="E30" s="5"/>
      <c r="F30" s="1"/>
      <c r="G30" s="1"/>
      <c r="H30" s="1"/>
      <c r="I30" s="1"/>
      <c r="J30" s="1"/>
      <c r="K30" s="1"/>
    </row>
    <row r="31" spans="1:11" ht="26.25" customHeight="1">
      <c r="A31" s="10" t="s">
        <v>63</v>
      </c>
      <c r="B31" s="7" t="s">
        <v>64</v>
      </c>
      <c r="C31" s="7"/>
      <c r="D31" s="7" t="s">
        <v>65</v>
      </c>
      <c r="E31" s="7" t="s">
        <v>33</v>
      </c>
      <c r="F31" s="1"/>
      <c r="G31" s="1"/>
      <c r="H31" s="1"/>
      <c r="I31" s="1"/>
      <c r="J31" s="1"/>
      <c r="K31" s="1"/>
    </row>
    <row r="32" spans="1:11" ht="15.75" customHeight="1">
      <c r="A32" s="10" t="s">
        <v>66</v>
      </c>
      <c r="B32" s="7" t="s">
        <v>67</v>
      </c>
      <c r="C32" s="7"/>
      <c r="D32" s="7" t="s">
        <v>68</v>
      </c>
      <c r="E32" s="7" t="s">
        <v>33</v>
      </c>
      <c r="F32" s="1"/>
      <c r="G32" s="1"/>
      <c r="H32" s="1"/>
      <c r="I32" s="1"/>
      <c r="J32" s="1"/>
      <c r="K32" s="1"/>
    </row>
    <row r="33" spans="1:11" ht="15.75" customHeight="1">
      <c r="A33" s="10" t="s">
        <v>69</v>
      </c>
      <c r="B33" s="7" t="s">
        <v>70</v>
      </c>
      <c r="C33" s="7"/>
      <c r="D33" s="7" t="s">
        <v>71</v>
      </c>
      <c r="E33" s="7" t="s">
        <v>33</v>
      </c>
      <c r="F33" s="1"/>
      <c r="G33" s="1"/>
      <c r="H33" s="1"/>
      <c r="I33" s="1"/>
      <c r="J33" s="1"/>
      <c r="K33" s="1"/>
    </row>
    <row r="34" spans="1:11" ht="35.25" customHeight="1">
      <c r="A34" s="10" t="s">
        <v>72</v>
      </c>
      <c r="B34" s="7" t="s">
        <v>73</v>
      </c>
      <c r="C34" s="7"/>
      <c r="D34" s="7" t="s">
        <v>74</v>
      </c>
      <c r="E34" s="7" t="s">
        <v>33</v>
      </c>
      <c r="F34" s="1"/>
      <c r="G34" s="1"/>
      <c r="H34" s="1"/>
      <c r="I34" s="1"/>
      <c r="J34" s="1"/>
      <c r="K34" s="1"/>
    </row>
    <row r="35" spans="1:11" ht="35.25" customHeight="1">
      <c r="A35" s="10" t="s">
        <v>75</v>
      </c>
      <c r="B35" s="7" t="s">
        <v>76</v>
      </c>
      <c r="C35" s="7"/>
      <c r="D35" s="7" t="s">
        <v>77</v>
      </c>
      <c r="E35" s="7" t="s">
        <v>33</v>
      </c>
      <c r="F35" s="1"/>
      <c r="G35" s="1"/>
      <c r="H35" s="1"/>
      <c r="I35" s="1"/>
      <c r="J35" s="1"/>
      <c r="K35" s="1"/>
    </row>
    <row r="36" spans="1:11" ht="15.75" customHeight="1">
      <c r="A36" s="6" t="s">
        <v>78</v>
      </c>
      <c r="B36" s="7" t="s">
        <v>79</v>
      </c>
      <c r="C36" s="7"/>
      <c r="D36" s="7"/>
      <c r="E36" s="7"/>
      <c r="F36" s="1"/>
      <c r="G36" s="1"/>
      <c r="H36" s="1"/>
      <c r="I36" s="1"/>
      <c r="J36" s="1"/>
      <c r="K36" s="1"/>
    </row>
    <row r="37" spans="1:11" ht="15.75" customHeight="1">
      <c r="A37" s="377"/>
      <c r="B37" s="378"/>
      <c r="C37" s="378"/>
      <c r="D37" s="378"/>
      <c r="E37" s="378"/>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topLeftCell="A59" workbookViewId="0">
      <selection activeCell="K117" sqref="K117"/>
    </sheetView>
  </sheetViews>
  <sheetFormatPr defaultColWidth="14.42578125" defaultRowHeight="15" customHeight="1"/>
  <cols>
    <col min="1" max="1" width="8.7109375" customWidth="1"/>
    <col min="2" max="2" width="32.7109375" customWidth="1"/>
    <col min="3" max="3" width="15.28515625" customWidth="1"/>
    <col min="4" max="5" width="14.85546875" customWidth="1"/>
    <col min="6" max="6" width="16.5703125" customWidth="1"/>
    <col min="7" max="9" width="15.85546875" customWidth="1"/>
    <col min="10" max="10" width="14.85546875" customWidth="1"/>
    <col min="11" max="11" width="14.42578125" customWidth="1"/>
    <col min="12" max="12" width="14.85546875" customWidth="1"/>
    <col min="13" max="18" width="11.85546875" customWidth="1"/>
    <col min="19" max="19" width="4.5703125" customWidth="1"/>
  </cols>
  <sheetData>
    <row r="5" spans="2:12" ht="18.75">
      <c r="B5" s="394" t="s">
        <v>437</v>
      </c>
      <c r="C5" s="378"/>
      <c r="D5" s="378"/>
      <c r="E5" s="378"/>
      <c r="F5" s="378"/>
      <c r="G5" s="378"/>
      <c r="H5" s="378"/>
      <c r="I5" s="378"/>
      <c r="J5" s="378"/>
    </row>
    <row r="6" spans="2:12" ht="16.5">
      <c r="B6" s="203"/>
      <c r="C6" s="203"/>
      <c r="D6" s="203"/>
      <c r="E6" s="203"/>
      <c r="F6" s="203"/>
      <c r="G6" s="203"/>
      <c r="H6" s="203"/>
      <c r="I6" s="203"/>
      <c r="J6" s="203"/>
    </row>
    <row r="7" spans="2:12" ht="15.75">
      <c r="B7" s="204" t="s">
        <v>438</v>
      </c>
      <c r="C7" s="205" t="s">
        <v>439</v>
      </c>
      <c r="D7" s="205" t="s">
        <v>153</v>
      </c>
      <c r="E7" s="205" t="s">
        <v>154</v>
      </c>
      <c r="F7" s="205" t="s">
        <v>155</v>
      </c>
      <c r="G7" s="205" t="s">
        <v>156</v>
      </c>
      <c r="H7" s="205" t="s">
        <v>157</v>
      </c>
      <c r="I7" s="205" t="s">
        <v>158</v>
      </c>
      <c r="J7" s="205" t="s">
        <v>159</v>
      </c>
      <c r="L7" s="206"/>
    </row>
    <row r="8" spans="2:12">
      <c r="B8" s="78"/>
      <c r="C8" s="78"/>
      <c r="D8" s="78"/>
      <c r="E8" s="78"/>
      <c r="F8" s="78"/>
      <c r="G8" s="78"/>
      <c r="H8" s="78"/>
      <c r="I8" s="78"/>
      <c r="J8" s="78"/>
    </row>
    <row r="9" spans="2:12">
      <c r="B9" s="78" t="s">
        <v>440</v>
      </c>
      <c r="C9" s="78"/>
      <c r="D9" s="207">
        <f>'6.Cons Profit &amp; Loss'!B51</f>
        <v>1248154.2817529051</v>
      </c>
      <c r="E9" s="207">
        <f>'6.Cons Profit &amp; Loss'!C51</f>
        <v>1657563.7026546123</v>
      </c>
      <c r="F9" s="207">
        <f>'6.Cons Profit &amp; Loss'!D51</f>
        <v>2527350.5758501939</v>
      </c>
      <c r="G9" s="207">
        <f>'6.Cons Profit &amp; Loss'!E51</f>
        <v>2666478.5539312293</v>
      </c>
      <c r="H9" s="207">
        <f>'6.Cons Profit &amp; Loss'!F51</f>
        <v>2820908.8108439068</v>
      </c>
      <c r="I9" s="207">
        <f>'6.Cons Profit &amp; Loss'!G51</f>
        <v>3005378.0713882195</v>
      </c>
      <c r="J9" s="207">
        <f>'6.Cons Profit &amp; Loss'!H51</f>
        <v>3190520.2254838739</v>
      </c>
    </row>
    <row r="10" spans="2:12">
      <c r="B10" s="78"/>
      <c r="C10" s="78"/>
      <c r="D10" s="207"/>
      <c r="E10" s="207"/>
      <c r="F10" s="207"/>
      <c r="G10" s="207"/>
      <c r="H10" s="207"/>
      <c r="I10" s="207"/>
      <c r="J10" s="207"/>
    </row>
    <row r="11" spans="2:12">
      <c r="B11" s="81" t="s">
        <v>441</v>
      </c>
      <c r="C11" s="81"/>
      <c r="D11" s="207">
        <f>'6.Cons Profit &amp; Loss'!B42</f>
        <v>485353.69149999996</v>
      </c>
      <c r="E11" s="207">
        <f>'6.Cons Profit &amp; Loss'!C42</f>
        <v>485353.69149999996</v>
      </c>
      <c r="F11" s="207">
        <f>'6.Cons Profit &amp; Loss'!D42</f>
        <v>485353.69149999996</v>
      </c>
      <c r="G11" s="207">
        <f>'6.Cons Profit &amp; Loss'!E42</f>
        <v>485353.69149999996</v>
      </c>
      <c r="H11" s="207">
        <f>'6.Cons Profit &amp; Loss'!F42</f>
        <v>485353.69149999996</v>
      </c>
      <c r="I11" s="207">
        <f>'6.Cons Profit &amp; Loss'!G42</f>
        <v>485353.69149999996</v>
      </c>
      <c r="J11" s="207">
        <f>'6.Cons Profit &amp; Loss'!H42</f>
        <v>485353.69149999996</v>
      </c>
    </row>
    <row r="12" spans="2:12">
      <c r="B12" s="78" t="s">
        <v>442</v>
      </c>
      <c r="C12" s="78"/>
      <c r="D12" s="207">
        <f>'6.Cons Profit &amp; Loss'!B43</f>
        <v>20000</v>
      </c>
      <c r="E12" s="207">
        <f>'6.Cons Profit &amp; Loss'!C43</f>
        <v>20000</v>
      </c>
      <c r="F12" s="207">
        <f>'6.Cons Profit &amp; Loss'!D43</f>
        <v>20000</v>
      </c>
      <c r="G12" s="207">
        <f>'6.Cons Profit &amp; Loss'!E43</f>
        <v>20000</v>
      </c>
      <c r="H12" s="207">
        <f>'6.Cons Profit &amp; Loss'!F43</f>
        <v>20000</v>
      </c>
      <c r="I12" s="207">
        <f>'6.Cons Profit &amp; Loss'!G43</f>
        <v>0</v>
      </c>
      <c r="J12" s="207">
        <f>'6.Cons Profit &amp; Loss'!H43</f>
        <v>0</v>
      </c>
    </row>
    <row r="13" spans="2:12">
      <c r="B13" s="78"/>
      <c r="C13" s="78"/>
      <c r="D13" s="78"/>
      <c r="E13" s="78"/>
      <c r="F13" s="78"/>
      <c r="G13" s="78"/>
      <c r="H13" s="78"/>
      <c r="I13" s="78"/>
      <c r="J13" s="78"/>
    </row>
    <row r="14" spans="2:12">
      <c r="B14" s="78" t="s">
        <v>443</v>
      </c>
      <c r="C14" s="78"/>
      <c r="D14" s="207">
        <f t="shared" ref="D14:J14" si="0">SUM(D9:D12)</f>
        <v>1753507.9732529051</v>
      </c>
      <c r="E14" s="207">
        <f t="shared" si="0"/>
        <v>2162917.394154612</v>
      </c>
      <c r="F14" s="207">
        <f t="shared" si="0"/>
        <v>3032704.267350194</v>
      </c>
      <c r="G14" s="207">
        <f t="shared" si="0"/>
        <v>3171832.2454312295</v>
      </c>
      <c r="H14" s="207">
        <f t="shared" si="0"/>
        <v>3326262.502343907</v>
      </c>
      <c r="I14" s="207">
        <f t="shared" si="0"/>
        <v>3490731.7628882192</v>
      </c>
      <c r="J14" s="207">
        <f t="shared" si="0"/>
        <v>3675873.9169838736</v>
      </c>
    </row>
    <row r="15" spans="2:12">
      <c r="B15" s="78" t="s">
        <v>444</v>
      </c>
      <c r="C15" s="80">
        <f>-'1.Project Cost and MOF'!D12</f>
        <v>-9524495</v>
      </c>
      <c r="D15" s="207">
        <f t="shared" ref="D15:J15" si="1">D14</f>
        <v>1753507.9732529051</v>
      </c>
      <c r="E15" s="207">
        <f t="shared" si="1"/>
        <v>2162917.394154612</v>
      </c>
      <c r="F15" s="207">
        <f t="shared" si="1"/>
        <v>3032704.267350194</v>
      </c>
      <c r="G15" s="207">
        <f t="shared" si="1"/>
        <v>3171832.2454312295</v>
      </c>
      <c r="H15" s="207">
        <f t="shared" si="1"/>
        <v>3326262.502343907</v>
      </c>
      <c r="I15" s="207">
        <f t="shared" si="1"/>
        <v>3490731.7628882192</v>
      </c>
      <c r="J15" s="207">
        <f t="shared" si="1"/>
        <v>3675873.9169838736</v>
      </c>
    </row>
    <row r="16" spans="2:12">
      <c r="B16" s="364" t="s">
        <v>445</v>
      </c>
      <c r="C16" s="365">
        <f>IRR(C15:J15)</f>
        <v>0.20850468136603717</v>
      </c>
      <c r="D16" s="366"/>
      <c r="E16" s="366"/>
      <c r="F16" s="366"/>
      <c r="G16" s="366"/>
      <c r="H16" s="366"/>
      <c r="I16" s="366"/>
      <c r="J16" s="366"/>
    </row>
    <row r="17" spans="2:19">
      <c r="B17" s="78"/>
      <c r="C17" s="78"/>
      <c r="D17" s="78"/>
      <c r="E17" s="78"/>
      <c r="F17" s="78"/>
      <c r="G17" s="78"/>
      <c r="H17" s="78"/>
      <c r="I17" s="78"/>
      <c r="J17" s="78"/>
    </row>
    <row r="18" spans="2:19" ht="16.5" hidden="1">
      <c r="B18" s="208" t="s">
        <v>446</v>
      </c>
      <c r="C18" s="90"/>
      <c r="D18" s="209">
        <f>1/(1+$C$16)</f>
        <v>0.82746886745167325</v>
      </c>
      <c r="E18" s="210">
        <f t="shared" ref="E18:J18" si="2">D18/(1+$C$16)</f>
        <v>0.68470472660175474</v>
      </c>
      <c r="F18" s="210">
        <f t="shared" si="2"/>
        <v>0.56657184465996158</v>
      </c>
      <c r="G18" s="210">
        <f t="shared" si="2"/>
        <v>0.46882056263078375</v>
      </c>
      <c r="H18" s="210">
        <f t="shared" si="2"/>
        <v>0.38793441999815087</v>
      </c>
      <c r="I18" s="210">
        <f t="shared" si="2"/>
        <v>0.32100365516139162</v>
      </c>
      <c r="J18" s="210">
        <f t="shared" si="2"/>
        <v>0.26562053098424421</v>
      </c>
      <c r="L18" s="211"/>
      <c r="M18" s="211"/>
      <c r="N18" s="211"/>
      <c r="O18" s="211"/>
      <c r="P18" s="211"/>
      <c r="Q18" s="211"/>
      <c r="R18" s="211"/>
      <c r="S18" s="211"/>
    </row>
    <row r="19" spans="2:19" hidden="1">
      <c r="B19" s="78" t="s">
        <v>447</v>
      </c>
      <c r="C19" s="78"/>
      <c r="D19" s="207">
        <f t="shared" ref="D19:J19" si="3">D14*D18</f>
        <v>1450973.2566950603</v>
      </c>
      <c r="E19" s="207">
        <f t="shared" si="3"/>
        <v>1480959.7630268135</v>
      </c>
      <c r="F19" s="207">
        <f t="shared" si="3"/>
        <v>1718244.8510607367</v>
      </c>
      <c r="G19" s="207">
        <f t="shared" si="3"/>
        <v>1487020.1778735311</v>
      </c>
      <c r="H19" s="207">
        <f t="shared" si="3"/>
        <v>1290371.7146083815</v>
      </c>
      <c r="I19" s="207">
        <f t="shared" si="3"/>
        <v>1120537.6550750865</v>
      </c>
      <c r="J19" s="207">
        <f t="shared" si="3"/>
        <v>976387.58166039013</v>
      </c>
      <c r="L19" s="212"/>
    </row>
    <row r="20" spans="2:19" hidden="1">
      <c r="B20" s="78" t="s">
        <v>448</v>
      </c>
      <c r="C20" s="78"/>
      <c r="D20" s="432">
        <f>SUM(D19:J19)</f>
        <v>9524495</v>
      </c>
      <c r="E20" s="382"/>
      <c r="F20" s="382"/>
      <c r="G20" s="382"/>
      <c r="H20" s="382"/>
      <c r="I20" s="382"/>
      <c r="J20" s="383"/>
      <c r="L20" s="212"/>
    </row>
    <row r="21" spans="2:19" ht="15.75" hidden="1" customHeight="1">
      <c r="B21" s="78"/>
      <c r="C21" s="78"/>
      <c r="D21" s="207"/>
      <c r="E21" s="207"/>
      <c r="F21" s="207"/>
      <c r="G21" s="207"/>
      <c r="H21" s="207"/>
      <c r="I21" s="207"/>
      <c r="J21" s="207"/>
    </row>
    <row r="22" spans="2:19" ht="15.75" hidden="1" customHeight="1">
      <c r="B22" s="73" t="s">
        <v>449</v>
      </c>
      <c r="C22" s="73"/>
      <c r="D22" s="433">
        <f>'1.Project Cost and MOF'!D12</f>
        <v>9524495</v>
      </c>
      <c r="E22" s="378"/>
      <c r="F22" s="378"/>
      <c r="G22" s="378"/>
      <c r="H22" s="378"/>
      <c r="I22" s="378"/>
      <c r="J22" s="378"/>
    </row>
    <row r="23" spans="2:19" ht="15.75" hidden="1" customHeight="1">
      <c r="F23" s="211">
        <f>D20-D22</f>
        <v>0</v>
      </c>
    </row>
    <row r="24" spans="2:19" ht="29.25" hidden="1" customHeight="1">
      <c r="B24" s="431" t="s">
        <v>450</v>
      </c>
      <c r="C24" s="378"/>
      <c r="D24" s="378"/>
      <c r="E24" s="378"/>
      <c r="F24" s="378"/>
      <c r="G24" s="378"/>
      <c r="H24" s="378"/>
      <c r="I24" s="378"/>
      <c r="J24" s="378"/>
    </row>
    <row r="25" spans="2:19" ht="15.75" hidden="1" customHeight="1">
      <c r="K25" s="211"/>
      <c r="L25" s="211"/>
      <c r="M25" s="211"/>
    </row>
    <row r="26" spans="2:19" ht="15.75" customHeight="1">
      <c r="B26" s="394" t="s">
        <v>451</v>
      </c>
      <c r="C26" s="378"/>
      <c r="D26" s="378"/>
      <c r="E26" s="378"/>
      <c r="F26" s="378"/>
      <c r="G26" s="378"/>
      <c r="H26" s="378"/>
      <c r="I26" s="378"/>
    </row>
    <row r="27" spans="2:19" ht="15.75" customHeight="1">
      <c r="K27" s="211"/>
    </row>
    <row r="28" spans="2:19" ht="15.75" customHeight="1">
      <c r="B28" s="213" t="s">
        <v>150</v>
      </c>
      <c r="C28" s="214" t="s">
        <v>153</v>
      </c>
      <c r="D28" s="214" t="s">
        <v>154</v>
      </c>
      <c r="E28" s="214" t="s">
        <v>155</v>
      </c>
      <c r="F28" s="214" t="s">
        <v>156</v>
      </c>
      <c r="G28" s="214" t="s">
        <v>157</v>
      </c>
      <c r="H28" s="214" t="s">
        <v>158</v>
      </c>
      <c r="I28" s="214" t="s">
        <v>159</v>
      </c>
    </row>
    <row r="29" spans="2:19" ht="15.75" customHeight="1">
      <c r="B29" s="78"/>
      <c r="C29" s="78"/>
      <c r="D29" s="78"/>
      <c r="E29" s="78"/>
      <c r="F29" s="78"/>
      <c r="G29" s="78"/>
      <c r="H29" s="78"/>
      <c r="I29" s="78"/>
    </row>
    <row r="30" spans="2:19" ht="15.75" customHeight="1">
      <c r="B30" s="78" t="s">
        <v>452</v>
      </c>
      <c r="C30" s="78"/>
      <c r="D30" s="78"/>
      <c r="E30" s="78"/>
      <c r="F30" s="78"/>
      <c r="G30" s="78"/>
      <c r="H30" s="78"/>
      <c r="I30" s="78"/>
    </row>
    <row r="31" spans="2:19" ht="15.75" customHeight="1">
      <c r="B31" s="78"/>
      <c r="C31" s="80"/>
      <c r="D31" s="80"/>
      <c r="E31" s="80"/>
      <c r="F31" s="80"/>
      <c r="G31" s="80"/>
      <c r="H31" s="80"/>
      <c r="I31" s="80"/>
    </row>
    <row r="32" spans="2:19" ht="15.75" customHeight="1">
      <c r="B32" s="215" t="str">
        <f>'6.Cons Profit &amp; Loss'!A8</f>
        <v>Faclitiy 1 - Cleaning &amp; Grading</v>
      </c>
      <c r="C32" s="80">
        <f>'6.Cons Profit &amp; Loss'!B8</f>
        <v>45945102.5</v>
      </c>
      <c r="D32" s="80">
        <f>'6.Cons Profit &amp; Loss'!C8</f>
        <v>50495025</v>
      </c>
      <c r="E32" s="80">
        <f>'6.Cons Profit &amp; Loss'!D8</f>
        <v>53019776.25</v>
      </c>
      <c r="F32" s="80">
        <f>'6.Cons Profit &amp; Loss'!E8</f>
        <v>55670765.062500015</v>
      </c>
      <c r="G32" s="80">
        <f>'6.Cons Profit &amp; Loss'!F8</f>
        <v>58454303.315625012</v>
      </c>
      <c r="H32" s="80">
        <f>'6.Cons Profit &amp; Loss'!G8</f>
        <v>61377018.481406271</v>
      </c>
      <c r="I32" s="80">
        <f>'6.Cons Profit &amp; Loss'!H8</f>
        <v>64445869.405476585</v>
      </c>
    </row>
    <row r="33" spans="2:9" ht="15.75" customHeight="1">
      <c r="B33" s="215" t="str">
        <f>'6.Cons Profit &amp; Loss'!A9</f>
        <v>Faclitiy 2 - Processing Unit- Dal Mill</v>
      </c>
      <c r="C33" s="80">
        <f>'6.Cons Profit &amp; Loss'!B9</f>
        <v>96638000</v>
      </c>
      <c r="D33" s="80">
        <f>'6.Cons Profit &amp; Loss'!C9</f>
        <v>128673037.5</v>
      </c>
      <c r="E33" s="80">
        <f>'6.Cons Profit &amp; Loss'!D9</f>
        <v>137964093.75</v>
      </c>
      <c r="F33" s="80">
        <f>'6.Cons Profit &amp; Loss'!E9</f>
        <v>144862298.43750003</v>
      </c>
      <c r="G33" s="80">
        <f>'6.Cons Profit &amp; Loss'!F9</f>
        <v>152105413.35937503</v>
      </c>
      <c r="H33" s="80">
        <f>'6.Cons Profit &amp; Loss'!G9</f>
        <v>159710684.02734378</v>
      </c>
      <c r="I33" s="80">
        <f>'6.Cons Profit &amp; Loss'!H9</f>
        <v>167696218.22871101</v>
      </c>
    </row>
    <row r="34" spans="2:9" ht="15.75" customHeight="1">
      <c r="B34" s="215" t="str">
        <f>'6.Cons Profit &amp; Loss'!A10</f>
        <v>Faclitiy 3 - Warehouse</v>
      </c>
      <c r="C34" s="80">
        <f>'6.Cons Profit &amp; Loss'!B10</f>
        <v>0</v>
      </c>
      <c r="D34" s="80">
        <f>'6.Cons Profit &amp; Loss'!C10</f>
        <v>0</v>
      </c>
      <c r="E34" s="80">
        <f>'6.Cons Profit &amp; Loss'!D10</f>
        <v>0</v>
      </c>
      <c r="F34" s="80">
        <f>'6.Cons Profit &amp; Loss'!E10</f>
        <v>0</v>
      </c>
      <c r="G34" s="80">
        <f>'6.Cons Profit &amp; Loss'!F10</f>
        <v>0</v>
      </c>
      <c r="H34" s="80">
        <f>'6.Cons Profit &amp; Loss'!G10</f>
        <v>0</v>
      </c>
      <c r="I34" s="80">
        <f>'6.Cons Profit &amp; Loss'!H10</f>
        <v>0</v>
      </c>
    </row>
    <row r="35" spans="2:9" ht="15.75" customHeight="1">
      <c r="B35" s="215" t="str">
        <f>'6.Cons Profit &amp; Loss'!A11</f>
        <v xml:space="preserve">Faclitiy 4 - Custom Hiring </v>
      </c>
      <c r="C35" s="80">
        <f>'6.Cons Profit &amp; Loss'!B11</f>
        <v>0</v>
      </c>
      <c r="D35" s="80">
        <f>'6.Cons Profit &amp; Loss'!C11</f>
        <v>0</v>
      </c>
      <c r="E35" s="80">
        <f>'6.Cons Profit &amp; Loss'!D11</f>
        <v>0</v>
      </c>
      <c r="F35" s="80">
        <f>'6.Cons Profit &amp; Loss'!E11</f>
        <v>0</v>
      </c>
      <c r="G35" s="80">
        <f>'6.Cons Profit &amp; Loss'!F11</f>
        <v>0</v>
      </c>
      <c r="H35" s="80">
        <f>'6.Cons Profit &amp; Loss'!G11</f>
        <v>0</v>
      </c>
      <c r="I35" s="80">
        <f>'6.Cons Profit &amp; Loss'!H11</f>
        <v>0</v>
      </c>
    </row>
    <row r="36" spans="2:9" ht="15.75" customHeight="1">
      <c r="B36" s="215" t="str">
        <f>'6.Cons Profit &amp; Loss'!A12</f>
        <v>Faclitiy 5 - Agri Input Centre</v>
      </c>
      <c r="C36" s="80">
        <f>'6.Cons Profit &amp; Loss'!B12</f>
        <v>0</v>
      </c>
      <c r="D36" s="80">
        <f>'6.Cons Profit &amp; Loss'!C12</f>
        <v>0</v>
      </c>
      <c r="E36" s="80">
        <f>'6.Cons Profit &amp; Loss'!D12</f>
        <v>0</v>
      </c>
      <c r="F36" s="80">
        <f>'6.Cons Profit &amp; Loss'!E12</f>
        <v>0</v>
      </c>
      <c r="G36" s="80">
        <f>'6.Cons Profit &amp; Loss'!F12</f>
        <v>0</v>
      </c>
      <c r="H36" s="80">
        <f>'6.Cons Profit &amp; Loss'!G12</f>
        <v>0</v>
      </c>
      <c r="I36" s="80">
        <f>'6.Cons Profit &amp; Loss'!H12</f>
        <v>0</v>
      </c>
    </row>
    <row r="37" spans="2:9" ht="15.75" customHeight="1">
      <c r="B37" s="215" t="str">
        <f>'6.Cons Profit &amp; Loss'!A13</f>
        <v>Facility 6 - Processing Unit - Horti Commodity</v>
      </c>
      <c r="C37" s="80">
        <f>'6.Cons Profit &amp; Loss'!B13</f>
        <v>0</v>
      </c>
      <c r="D37" s="80">
        <f>'6.Cons Profit &amp; Loss'!C13</f>
        <v>0</v>
      </c>
      <c r="E37" s="80">
        <f>'6.Cons Profit &amp; Loss'!D13</f>
        <v>0</v>
      </c>
      <c r="F37" s="80">
        <f>'6.Cons Profit &amp; Loss'!E13</f>
        <v>0</v>
      </c>
      <c r="G37" s="80">
        <f>'6.Cons Profit &amp; Loss'!F13</f>
        <v>0</v>
      </c>
      <c r="H37" s="80">
        <f>'6.Cons Profit &amp; Loss'!G13</f>
        <v>0</v>
      </c>
      <c r="I37" s="80">
        <f>'6.Cons Profit &amp; Loss'!H13</f>
        <v>0</v>
      </c>
    </row>
    <row r="38" spans="2:9" ht="15.75" customHeight="1">
      <c r="B38" s="215"/>
      <c r="C38" s="215"/>
      <c r="D38" s="215"/>
      <c r="E38" s="215"/>
      <c r="F38" s="215"/>
      <c r="G38" s="215"/>
      <c r="H38" s="215"/>
      <c r="I38" s="215"/>
    </row>
    <row r="39" spans="2:9" ht="15.75" customHeight="1">
      <c r="B39" s="78" t="s">
        <v>453</v>
      </c>
      <c r="C39" s="80">
        <f t="shared" ref="C39:I39" si="4">SUM(C32:C38)</f>
        <v>142583102.5</v>
      </c>
      <c r="D39" s="80">
        <f t="shared" si="4"/>
        <v>179168062.5</v>
      </c>
      <c r="E39" s="80">
        <f t="shared" si="4"/>
        <v>190983870</v>
      </c>
      <c r="F39" s="80">
        <f t="shared" si="4"/>
        <v>200533063.50000006</v>
      </c>
      <c r="G39" s="80">
        <f t="shared" si="4"/>
        <v>210559716.67500004</v>
      </c>
      <c r="H39" s="80">
        <f t="shared" si="4"/>
        <v>221087702.50875005</v>
      </c>
      <c r="I39" s="80">
        <f t="shared" si="4"/>
        <v>232142087.63418758</v>
      </c>
    </row>
    <row r="40" spans="2:9" ht="15.75" customHeight="1">
      <c r="B40" s="78"/>
      <c r="C40" s="80"/>
      <c r="D40" s="80"/>
      <c r="E40" s="80"/>
      <c r="F40" s="80"/>
      <c r="G40" s="80"/>
      <c r="H40" s="80"/>
      <c r="I40" s="80"/>
    </row>
    <row r="41" spans="2:9" ht="15.75" customHeight="1">
      <c r="B41" s="78" t="s">
        <v>454</v>
      </c>
      <c r="C41" s="80">
        <f>'6.Cons Profit &amp; Loss'!B25</f>
        <v>137396212.14285713</v>
      </c>
      <c r="D41" s="80">
        <f>'6.Cons Profit &amp; Loss'!C25</f>
        <v>172747508.15476191</v>
      </c>
      <c r="E41" s="80">
        <f>'6.Cons Profit &amp; Loss'!D25</f>
        <v>183174142.5625</v>
      </c>
      <c r="F41" s="80">
        <f>'6.Cons Profit &amp; Loss'!E25</f>
        <v>192332849.69062507</v>
      </c>
      <c r="G41" s="80">
        <f>'6.Cons Profit &amp; Loss'!F25</f>
        <v>201949492.1751563</v>
      </c>
      <c r="H41" s="80">
        <f>'6.Cons Profit &amp; Loss'!G25</f>
        <v>212046966.78391409</v>
      </c>
      <c r="I41" s="80">
        <f>'6.Cons Profit &amp; Loss'!H25</f>
        <v>222649315.12310985</v>
      </c>
    </row>
    <row r="42" spans="2:9" ht="15.75" customHeight="1">
      <c r="B42" s="78"/>
      <c r="C42" s="80"/>
      <c r="D42" s="80"/>
      <c r="E42" s="80"/>
      <c r="F42" s="80"/>
      <c r="G42" s="80"/>
      <c r="H42" s="80"/>
      <c r="I42" s="80"/>
    </row>
    <row r="43" spans="2:9" ht="15.75" customHeight="1">
      <c r="B43" s="81" t="s">
        <v>455</v>
      </c>
      <c r="C43" s="82">
        <f t="shared" ref="C43:I43" si="5">C39-C41</f>
        <v>5186890.3571428657</v>
      </c>
      <c r="D43" s="82">
        <f t="shared" si="5"/>
        <v>6420554.3452380896</v>
      </c>
      <c r="E43" s="82">
        <f t="shared" si="5"/>
        <v>7809727.4375</v>
      </c>
      <c r="F43" s="82">
        <f t="shared" si="5"/>
        <v>8200213.8093749881</v>
      </c>
      <c r="G43" s="82">
        <f t="shared" si="5"/>
        <v>8610224.4998437464</v>
      </c>
      <c r="H43" s="82">
        <f t="shared" si="5"/>
        <v>9040735.7248359621</v>
      </c>
      <c r="I43" s="82">
        <f t="shared" si="5"/>
        <v>9492772.5110777318</v>
      </c>
    </row>
    <row r="44" spans="2:9" ht="15.75" customHeight="1">
      <c r="B44" s="78"/>
      <c r="C44" s="80"/>
      <c r="D44" s="80"/>
      <c r="E44" s="80"/>
      <c r="F44" s="80"/>
      <c r="G44" s="80"/>
      <c r="H44" s="80"/>
      <c r="I44" s="80"/>
    </row>
    <row r="45" spans="2:9" ht="15.75" customHeight="1">
      <c r="B45" s="81" t="s">
        <v>456</v>
      </c>
      <c r="C45" s="82">
        <f>'6.Cons Profit &amp; Loss'!B36+'6.Cons Profit &amp; Loss'!B42+'6.Cons Profit &amp; Loss'!B43</f>
        <v>2611353.6914999997</v>
      </c>
      <c r="D45" s="82">
        <f>'6.Cons Profit &amp; Loss'!C36+'6.Cons Profit &amp; Loss'!C42+'6.Cons Profit &amp; Loss'!C43</f>
        <v>2716653.6914999997</v>
      </c>
      <c r="E45" s="82">
        <f>'6.Cons Profit &amp; Loss'!D36+'6.Cons Profit &amp; Loss'!D42+'6.Cons Profit &amp; Loss'!D43</f>
        <v>2827218.6914999997</v>
      </c>
      <c r="F45" s="82">
        <f>'6.Cons Profit &amp; Loss'!E36+'6.Cons Profit &amp; Loss'!E42+'6.Cons Profit &amp; Loss'!E43</f>
        <v>2943311.9415000007</v>
      </c>
      <c r="G45" s="82">
        <f>'6.Cons Profit &amp; Loss'!F36+'6.Cons Profit &amp; Loss'!F42+'6.Cons Profit &amp; Loss'!F43</f>
        <v>3065209.8540000003</v>
      </c>
      <c r="H45" s="82">
        <f>'6.Cons Profit &amp; Loss'!G36+'6.Cons Profit &amp; Loss'!G42+'6.Cons Profit &amp; Loss'!G43</f>
        <v>3173202.6621250007</v>
      </c>
      <c r="I45" s="82">
        <f>'6.Cons Profit &amp; Loss'!H36+'6.Cons Profit &amp; Loss'!H42+'6.Cons Profit &amp; Loss'!H43</f>
        <v>3307595.1106562512</v>
      </c>
    </row>
    <row r="46" spans="2:9" ht="15.75" customHeight="1">
      <c r="B46" s="78"/>
      <c r="C46" s="78"/>
      <c r="D46" s="78"/>
      <c r="E46" s="78"/>
      <c r="F46" s="78"/>
      <c r="G46" s="78"/>
      <c r="H46" s="78"/>
      <c r="I46" s="78"/>
    </row>
    <row r="47" spans="2:9" ht="15.75" customHeight="1">
      <c r="B47" s="78" t="s">
        <v>457</v>
      </c>
      <c r="C47" s="133">
        <f>C45/C43</f>
        <v>0.50345264921667465</v>
      </c>
      <c r="D47" s="133">
        <f t="shared" ref="D47:I47" si="6">D45/D43</f>
        <v>0.42311824578119972</v>
      </c>
      <c r="E47" s="133">
        <f t="shared" si="6"/>
        <v>0.36201246639217294</v>
      </c>
      <c r="F47" s="133">
        <f t="shared" si="6"/>
        <v>0.35893112178794967</v>
      </c>
      <c r="G47" s="133">
        <f t="shared" si="6"/>
        <v>0.35599650787916459</v>
      </c>
      <c r="H47" s="133">
        <f t="shared" si="6"/>
        <v>0.35098942815105638</v>
      </c>
      <c r="I47" s="133">
        <f t="shared" si="6"/>
        <v>0.34843299012974388</v>
      </c>
    </row>
    <row r="48" spans="2:9" ht="15.75" customHeight="1">
      <c r="B48" s="73"/>
      <c r="C48" s="73"/>
      <c r="D48" s="73"/>
      <c r="E48" s="73"/>
      <c r="F48" s="73"/>
      <c r="G48" s="73"/>
      <c r="H48" s="73"/>
      <c r="I48" s="73"/>
    </row>
    <row r="49" spans="2:10" ht="15.75" customHeight="1">
      <c r="B49" s="98" t="s">
        <v>458</v>
      </c>
      <c r="C49" s="216">
        <f>AVERAGE(C47:I47)</f>
        <v>0.38613334419113743</v>
      </c>
      <c r="D49" s="73"/>
      <c r="E49" s="73"/>
      <c r="F49" s="73"/>
      <c r="G49" s="73"/>
      <c r="H49" s="73"/>
      <c r="I49" s="73"/>
    </row>
    <row r="50" spans="2:10" ht="15.75" customHeight="1"/>
    <row r="51" spans="2:10" ht="41.25" customHeight="1">
      <c r="B51" s="430" t="s">
        <v>459</v>
      </c>
      <c r="C51" s="378"/>
      <c r="D51" s="378"/>
      <c r="E51" s="378"/>
      <c r="F51" s="378"/>
      <c r="G51" s="378"/>
      <c r="H51" s="378"/>
      <c r="I51" s="378"/>
      <c r="J51" s="378"/>
    </row>
    <row r="52" spans="2:10" ht="15.75" customHeight="1"/>
    <row r="53" spans="2:10" ht="15.75" customHeight="1"/>
    <row r="54" spans="2:10" ht="15.75" customHeight="1">
      <c r="B54" s="394" t="s">
        <v>460</v>
      </c>
      <c r="C54" s="378"/>
      <c r="D54" s="378"/>
      <c r="E54" s="378"/>
      <c r="F54" s="378"/>
      <c r="G54" s="378"/>
      <c r="H54" s="378"/>
      <c r="I54" s="378"/>
    </row>
    <row r="55" spans="2:10" ht="15.75" customHeight="1"/>
    <row r="56" spans="2:10" ht="15.75" customHeight="1">
      <c r="B56" s="130" t="s">
        <v>438</v>
      </c>
      <c r="C56" s="131" t="s">
        <v>153</v>
      </c>
      <c r="D56" s="131" t="s">
        <v>154</v>
      </c>
      <c r="E56" s="131" t="s">
        <v>155</v>
      </c>
      <c r="F56" s="131" t="s">
        <v>156</v>
      </c>
      <c r="G56" s="131" t="s">
        <v>157</v>
      </c>
      <c r="H56" s="131" t="s">
        <v>158</v>
      </c>
      <c r="I56" s="131" t="s">
        <v>159</v>
      </c>
    </row>
    <row r="57" spans="2:10" ht="15.75" customHeight="1">
      <c r="B57" s="78"/>
      <c r="C57" s="78"/>
      <c r="D57" s="78"/>
      <c r="E57" s="78"/>
      <c r="F57" s="78"/>
      <c r="G57" s="78"/>
      <c r="H57" s="78"/>
      <c r="I57" s="78"/>
    </row>
    <row r="58" spans="2:10" ht="15.75" customHeight="1">
      <c r="B58" s="78" t="s">
        <v>461</v>
      </c>
      <c r="C58" s="217">
        <f>'6.Cons Profit &amp; Loss'!B51</f>
        <v>1248154.2817529051</v>
      </c>
      <c r="D58" s="217">
        <f>'6.Cons Profit &amp; Loss'!C51</f>
        <v>1657563.7026546123</v>
      </c>
      <c r="E58" s="217">
        <f>'6.Cons Profit &amp; Loss'!D51</f>
        <v>2527350.5758501939</v>
      </c>
      <c r="F58" s="217">
        <f>'6.Cons Profit &amp; Loss'!E51</f>
        <v>2666478.5539312293</v>
      </c>
      <c r="G58" s="217">
        <f>'6.Cons Profit &amp; Loss'!F51</f>
        <v>2820908.8108439068</v>
      </c>
      <c r="H58" s="217">
        <f>'6.Cons Profit &amp; Loss'!G51</f>
        <v>3005378.0713882195</v>
      </c>
      <c r="I58" s="217">
        <f>'6.Cons Profit &amp; Loss'!H51</f>
        <v>3190520.2254838739</v>
      </c>
    </row>
    <row r="59" spans="2:10" ht="15.75" customHeight="1">
      <c r="B59" s="78"/>
      <c r="C59" s="217"/>
      <c r="D59" s="217"/>
      <c r="E59" s="217"/>
      <c r="F59" s="217"/>
      <c r="G59" s="217"/>
      <c r="H59" s="217"/>
      <c r="I59" s="217"/>
    </row>
    <row r="60" spans="2:10" ht="15.75" customHeight="1">
      <c r="B60" s="78" t="s">
        <v>462</v>
      </c>
      <c r="C60" s="217">
        <f>'6.Cons Profit &amp; Loss'!B42</f>
        <v>485353.69149999996</v>
      </c>
      <c r="D60" s="217">
        <f>'6.Cons Profit &amp; Loss'!C42</f>
        <v>485353.69149999996</v>
      </c>
      <c r="E60" s="217">
        <f>'6.Cons Profit &amp; Loss'!D42</f>
        <v>485353.69149999996</v>
      </c>
      <c r="F60" s="217">
        <f>'6.Cons Profit &amp; Loss'!E42</f>
        <v>485353.69149999996</v>
      </c>
      <c r="G60" s="217">
        <f>'6.Cons Profit &amp; Loss'!F42</f>
        <v>485353.69149999996</v>
      </c>
      <c r="H60" s="217">
        <f>'6.Cons Profit &amp; Loss'!G42</f>
        <v>485353.69149999996</v>
      </c>
      <c r="I60" s="217">
        <f>'6.Cons Profit &amp; Loss'!H42</f>
        <v>485353.69149999996</v>
      </c>
    </row>
    <row r="61" spans="2:10" ht="15.75" customHeight="1">
      <c r="B61" s="197" t="s">
        <v>463</v>
      </c>
      <c r="C61" s="217">
        <f>'6.Cons Profit &amp; Loss'!B43</f>
        <v>20000</v>
      </c>
      <c r="D61" s="217">
        <f>'6.Cons Profit &amp; Loss'!C43</f>
        <v>20000</v>
      </c>
      <c r="E61" s="217">
        <f>'6.Cons Profit &amp; Loss'!D43</f>
        <v>20000</v>
      </c>
      <c r="F61" s="217">
        <f>'6.Cons Profit &amp; Loss'!E43</f>
        <v>20000</v>
      </c>
      <c r="G61" s="217">
        <f>'6.Cons Profit &amp; Loss'!F43</f>
        <v>20000</v>
      </c>
      <c r="H61" s="217">
        <f>'6.Cons Profit &amp; Loss'!G43</f>
        <v>0</v>
      </c>
      <c r="I61" s="217">
        <f>'6.Cons Profit &amp; Loss'!H43</f>
        <v>0</v>
      </c>
    </row>
    <row r="62" spans="2:10" ht="15.75" customHeight="1">
      <c r="B62" s="78"/>
      <c r="C62" s="217"/>
      <c r="D62" s="217"/>
      <c r="E62" s="217"/>
      <c r="F62" s="217"/>
      <c r="G62" s="217"/>
      <c r="H62" s="217"/>
      <c r="I62" s="217"/>
    </row>
    <row r="63" spans="2:10" ht="15.75" customHeight="1">
      <c r="B63" s="78" t="s">
        <v>443</v>
      </c>
      <c r="C63" s="217">
        <f t="shared" ref="C63:I63" si="7">SUM(C58:C61)</f>
        <v>1753507.9732529051</v>
      </c>
      <c r="D63" s="217">
        <f t="shared" si="7"/>
        <v>2162917.394154612</v>
      </c>
      <c r="E63" s="217">
        <f t="shared" si="7"/>
        <v>3032704.267350194</v>
      </c>
      <c r="F63" s="217">
        <f t="shared" si="7"/>
        <v>3171832.2454312295</v>
      </c>
      <c r="G63" s="217">
        <f t="shared" si="7"/>
        <v>3326262.502343907</v>
      </c>
      <c r="H63" s="217">
        <f t="shared" si="7"/>
        <v>3490731.7628882192</v>
      </c>
      <c r="I63" s="217">
        <f t="shared" si="7"/>
        <v>3675873.9169838736</v>
      </c>
    </row>
    <row r="64" spans="2:10" ht="15.75" customHeight="1">
      <c r="B64" s="78"/>
      <c r="C64" s="78"/>
      <c r="D64" s="78"/>
      <c r="E64" s="78"/>
      <c r="F64" s="78"/>
      <c r="G64" s="78"/>
      <c r="H64" s="78"/>
      <c r="I64" s="78"/>
    </row>
    <row r="65" spans="2:10" ht="15.75" customHeight="1">
      <c r="B65" s="218" t="s">
        <v>464</v>
      </c>
      <c r="C65" s="215">
        <f>1/1.1</f>
        <v>0.90909090909090906</v>
      </c>
      <c r="D65" s="215">
        <f t="shared" ref="D65:I65" si="8">C65/1.1</f>
        <v>0.82644628099173545</v>
      </c>
      <c r="E65" s="215">
        <f t="shared" si="8"/>
        <v>0.75131480090157765</v>
      </c>
      <c r="F65" s="215">
        <f t="shared" si="8"/>
        <v>0.68301345536507052</v>
      </c>
      <c r="G65" s="215">
        <f t="shared" si="8"/>
        <v>0.62092132305915493</v>
      </c>
      <c r="H65" s="215">
        <f t="shared" si="8"/>
        <v>0.56447393005377711</v>
      </c>
      <c r="I65" s="215">
        <f t="shared" si="8"/>
        <v>0.51315811823070645</v>
      </c>
    </row>
    <row r="66" spans="2:10" ht="15.75" customHeight="1">
      <c r="B66" s="78"/>
      <c r="C66" s="78"/>
      <c r="D66" s="78"/>
      <c r="E66" s="78"/>
      <c r="F66" s="78"/>
      <c r="G66" s="78"/>
      <c r="H66" s="78"/>
      <c r="I66" s="78"/>
    </row>
    <row r="67" spans="2:10" ht="15.75" customHeight="1">
      <c r="B67" s="218" t="s">
        <v>465</v>
      </c>
      <c r="C67" s="80">
        <f t="shared" ref="C67:I67" si="9">C63*C65</f>
        <v>1594098.157502641</v>
      </c>
      <c r="D67" s="80">
        <f t="shared" si="9"/>
        <v>1787535.0364914148</v>
      </c>
      <c r="E67" s="80">
        <f t="shared" si="9"/>
        <v>2278515.6028175759</v>
      </c>
      <c r="F67" s="80">
        <f t="shared" si="9"/>
        <v>2166404.1017903346</v>
      </c>
      <c r="G67" s="80">
        <f t="shared" si="9"/>
        <v>2065347.3137974341</v>
      </c>
      <c r="H67" s="80">
        <f t="shared" si="9"/>
        <v>1970427.0769610626</v>
      </c>
      <c r="I67" s="80">
        <f t="shared" si="9"/>
        <v>1886304.5420927806</v>
      </c>
    </row>
    <row r="68" spans="2:10" ht="15.75" customHeight="1">
      <c r="B68" s="219" t="s">
        <v>466</v>
      </c>
      <c r="C68" s="120">
        <f>SUM(C67:I67)</f>
        <v>13748631.831453245</v>
      </c>
      <c r="D68" s="120"/>
      <c r="E68" s="120"/>
      <c r="F68" s="120"/>
      <c r="G68" s="120"/>
      <c r="H68" s="120"/>
      <c r="I68" s="120"/>
    </row>
    <row r="69" spans="2:10" ht="15.75" customHeight="1">
      <c r="B69" s="219" t="s">
        <v>467</v>
      </c>
      <c r="C69" s="120">
        <f>'1.Project Cost and MOF'!D12</f>
        <v>9524495</v>
      </c>
      <c r="D69" s="120"/>
      <c r="E69" s="120"/>
      <c r="F69" s="120"/>
      <c r="G69" s="120"/>
      <c r="H69" s="120"/>
      <c r="I69" s="120"/>
    </row>
    <row r="70" spans="2:10" ht="15.75" customHeight="1">
      <c r="B70" s="219" t="s">
        <v>468</v>
      </c>
      <c r="C70" s="220">
        <f>C68-C69</f>
        <v>4224136.8314532451</v>
      </c>
      <c r="D70" s="73"/>
      <c r="E70" s="73"/>
      <c r="F70" s="73"/>
      <c r="G70" s="73"/>
      <c r="H70" s="73"/>
      <c r="I70" s="73"/>
    </row>
    <row r="71" spans="2:10" ht="15.75" customHeight="1"/>
    <row r="72" spans="2:10" ht="34.5" customHeight="1">
      <c r="B72" s="400" t="s">
        <v>469</v>
      </c>
      <c r="C72" s="378"/>
      <c r="D72" s="378"/>
      <c r="E72" s="378"/>
      <c r="F72" s="378"/>
      <c r="G72" s="378"/>
      <c r="H72" s="378"/>
      <c r="I72" s="378"/>
      <c r="J72" s="378"/>
    </row>
    <row r="73" spans="2:10" ht="15.75" customHeight="1">
      <c r="B73" s="394" t="s">
        <v>470</v>
      </c>
      <c r="C73" s="378"/>
      <c r="D73" s="378"/>
      <c r="E73" s="378"/>
      <c r="F73" s="378"/>
      <c r="G73" s="378"/>
      <c r="H73" s="378"/>
      <c r="I73" s="378"/>
    </row>
    <row r="74" spans="2:10" ht="15.75" customHeight="1">
      <c r="B74" s="73"/>
      <c r="C74" s="73"/>
      <c r="D74" s="73"/>
      <c r="E74" s="73"/>
      <c r="F74" s="73"/>
      <c r="G74" s="73"/>
      <c r="H74" s="73"/>
      <c r="I74" s="73"/>
    </row>
    <row r="75" spans="2:10" ht="15.75" customHeight="1">
      <c r="B75" s="221" t="s">
        <v>150</v>
      </c>
      <c r="C75" s="221" t="s">
        <v>153</v>
      </c>
      <c r="D75" s="221" t="s">
        <v>154</v>
      </c>
      <c r="E75" s="221" t="s">
        <v>155</v>
      </c>
      <c r="F75" s="221" t="s">
        <v>156</v>
      </c>
      <c r="G75" s="221" t="s">
        <v>157</v>
      </c>
      <c r="H75" s="221" t="s">
        <v>158</v>
      </c>
      <c r="I75" s="221" t="s">
        <v>159</v>
      </c>
    </row>
    <row r="76" spans="2:10" ht="15.75" customHeight="1">
      <c r="B76" s="222"/>
      <c r="C76" s="223"/>
      <c r="D76" s="223"/>
      <c r="E76" s="223"/>
      <c r="F76" s="223"/>
      <c r="G76" s="223"/>
      <c r="H76" s="223"/>
      <c r="I76" s="223"/>
    </row>
    <row r="77" spans="2:10" ht="15.75" customHeight="1">
      <c r="B77" s="81" t="s">
        <v>471</v>
      </c>
      <c r="C77" s="80">
        <f>'6.Cons Profit &amp; Loss'!B51</f>
        <v>1248154.2817529051</v>
      </c>
      <c r="D77" s="80">
        <f>'6.Cons Profit &amp; Loss'!C51</f>
        <v>1657563.7026546123</v>
      </c>
      <c r="E77" s="80">
        <f>'6.Cons Profit &amp; Loss'!D51</f>
        <v>2527350.5758501939</v>
      </c>
      <c r="F77" s="80">
        <f>'6.Cons Profit &amp; Loss'!E51</f>
        <v>2666478.5539312293</v>
      </c>
      <c r="G77" s="80">
        <f>'6.Cons Profit &amp; Loss'!F51</f>
        <v>2820908.8108439068</v>
      </c>
      <c r="H77" s="80">
        <f>'6.Cons Profit &amp; Loss'!G51</f>
        <v>3005378.0713882195</v>
      </c>
      <c r="I77" s="80">
        <f>'6.Cons Profit &amp; Loss'!H51</f>
        <v>3190520.2254838739</v>
      </c>
    </row>
    <row r="78" spans="2:10" ht="15.75" customHeight="1">
      <c r="B78" s="78"/>
      <c r="C78" s="78"/>
      <c r="D78" s="78"/>
      <c r="E78" s="78"/>
      <c r="F78" s="78"/>
      <c r="G78" s="78"/>
      <c r="H78" s="78"/>
      <c r="I78" s="78"/>
    </row>
    <row r="79" spans="2:10" ht="15.75" customHeight="1">
      <c r="B79" s="81" t="s">
        <v>472</v>
      </c>
      <c r="C79" s="434">
        <f>AVERAGE(C77:I77)</f>
        <v>2445193.4602721343</v>
      </c>
      <c r="D79" s="382"/>
      <c r="E79" s="382"/>
      <c r="F79" s="382"/>
      <c r="G79" s="382"/>
      <c r="H79" s="382"/>
      <c r="I79" s="383"/>
    </row>
    <row r="80" spans="2:10" ht="15.75" customHeight="1">
      <c r="B80" s="81" t="s">
        <v>473</v>
      </c>
      <c r="C80" s="434">
        <f>'1.Project Cost and MOF'!D12</f>
        <v>9524495</v>
      </c>
      <c r="D80" s="382"/>
      <c r="E80" s="382"/>
      <c r="F80" s="382"/>
      <c r="G80" s="382"/>
      <c r="H80" s="382"/>
      <c r="I80" s="383"/>
    </row>
    <row r="81" spans="2:10" ht="15.75" customHeight="1">
      <c r="B81" s="78"/>
      <c r="C81" s="78"/>
      <c r="D81" s="78"/>
      <c r="E81" s="78"/>
      <c r="F81" s="78"/>
      <c r="G81" s="78"/>
      <c r="H81" s="78"/>
      <c r="I81" s="78"/>
    </row>
    <row r="82" spans="2:10" ht="15.75" customHeight="1">
      <c r="B82" s="224" t="s">
        <v>474</v>
      </c>
      <c r="C82" s="435">
        <f>C79/C80</f>
        <v>0.25672683541459512</v>
      </c>
      <c r="D82" s="382"/>
      <c r="E82" s="382"/>
      <c r="F82" s="382"/>
      <c r="G82" s="382"/>
      <c r="H82" s="382"/>
      <c r="I82" s="383"/>
    </row>
    <row r="83" spans="2:10" ht="15.75" customHeight="1"/>
    <row r="84" spans="2:10" ht="15.75" customHeight="1"/>
    <row r="85" spans="2:10" ht="15.75" customHeight="1">
      <c r="B85" s="429" t="s">
        <v>475</v>
      </c>
      <c r="C85" s="378"/>
      <c r="D85" s="378"/>
      <c r="E85" s="378"/>
      <c r="F85" s="378"/>
      <c r="G85" s="378"/>
      <c r="H85" s="378"/>
      <c r="I85" s="378"/>
    </row>
    <row r="86" spans="2:10" ht="15.75" customHeight="1"/>
    <row r="87" spans="2:10" ht="15.75" customHeight="1">
      <c r="B87" s="394" t="s">
        <v>476</v>
      </c>
      <c r="C87" s="378"/>
      <c r="D87" s="378"/>
      <c r="E87" s="378"/>
      <c r="F87" s="378"/>
      <c r="G87" s="378"/>
      <c r="H87" s="378"/>
      <c r="I87" s="378"/>
      <c r="J87" s="378"/>
    </row>
    <row r="88" spans="2:10" ht="15.75" customHeight="1"/>
    <row r="89" spans="2:10" ht="15.75" customHeight="1">
      <c r="B89" s="214" t="s">
        <v>150</v>
      </c>
      <c r="C89" s="214" t="s">
        <v>439</v>
      </c>
      <c r="D89" s="214" t="s">
        <v>153</v>
      </c>
      <c r="E89" s="214" t="s">
        <v>154</v>
      </c>
      <c r="F89" s="214" t="s">
        <v>155</v>
      </c>
      <c r="G89" s="214" t="s">
        <v>156</v>
      </c>
      <c r="H89" s="214" t="s">
        <v>157</v>
      </c>
      <c r="I89" s="214" t="s">
        <v>158</v>
      </c>
      <c r="J89" s="214" t="s">
        <v>159</v>
      </c>
    </row>
    <row r="90" spans="2:10" ht="15.75" customHeight="1">
      <c r="B90" s="225"/>
      <c r="C90" s="225"/>
      <c r="D90" s="226"/>
      <c r="E90" s="226"/>
      <c r="F90" s="226"/>
      <c r="G90" s="226"/>
      <c r="H90" s="226"/>
      <c r="I90" s="226"/>
      <c r="J90" s="226"/>
    </row>
    <row r="91" spans="2:10" ht="15.75" customHeight="1">
      <c r="B91" s="140" t="s">
        <v>477</v>
      </c>
      <c r="C91" s="227">
        <f>'1.Project Cost and MOF'!D12</f>
        <v>9524495</v>
      </c>
      <c r="D91" s="226"/>
      <c r="E91" s="226"/>
      <c r="F91" s="226"/>
      <c r="G91" s="226"/>
      <c r="H91" s="226"/>
      <c r="I91" s="226"/>
      <c r="J91" s="226"/>
    </row>
    <row r="92" spans="2:10" ht="15.75" customHeight="1">
      <c r="B92" s="140" t="str">
        <f>B58</f>
        <v>Profit after Tax &amp; Dividend</v>
      </c>
      <c r="C92" s="140"/>
      <c r="D92" s="228">
        <f>'6.Cons Profit &amp; Loss'!B51</f>
        <v>1248154.2817529051</v>
      </c>
      <c r="E92" s="228">
        <f>'6.Cons Profit &amp; Loss'!C51</f>
        <v>1657563.7026546123</v>
      </c>
      <c r="F92" s="228">
        <f>'6.Cons Profit &amp; Loss'!D51</f>
        <v>2527350.5758501939</v>
      </c>
      <c r="G92" s="228">
        <f>'6.Cons Profit &amp; Loss'!E51</f>
        <v>2666478.5539312293</v>
      </c>
      <c r="H92" s="228">
        <f>'6.Cons Profit &amp; Loss'!F51</f>
        <v>2820908.8108439068</v>
      </c>
      <c r="I92" s="228">
        <f>'6.Cons Profit &amp; Loss'!G51</f>
        <v>3005378.0713882195</v>
      </c>
      <c r="J92" s="228">
        <f>'6.Cons Profit &amp; Loss'!H51</f>
        <v>3190520.2254838739</v>
      </c>
    </row>
    <row r="93" spans="2:10" ht="15.75" customHeight="1">
      <c r="B93" s="140" t="str">
        <f t="shared" ref="B93:B94" si="10">B60</f>
        <v>Add: Deprication</v>
      </c>
      <c r="C93" s="140"/>
      <c r="D93" s="228">
        <f>'6.Cons Profit &amp; Loss'!B42</f>
        <v>485353.69149999996</v>
      </c>
      <c r="E93" s="228">
        <f>'6.Cons Profit &amp; Loss'!C42</f>
        <v>485353.69149999996</v>
      </c>
      <c r="F93" s="228">
        <f>'6.Cons Profit &amp; Loss'!D42</f>
        <v>485353.69149999996</v>
      </c>
      <c r="G93" s="228">
        <f>'6.Cons Profit &amp; Loss'!E42</f>
        <v>485353.69149999996</v>
      </c>
      <c r="H93" s="228">
        <f>'6.Cons Profit &amp; Loss'!F42</f>
        <v>485353.69149999996</v>
      </c>
      <c r="I93" s="228">
        <f>'6.Cons Profit &amp; Loss'!G42</f>
        <v>485353.69149999996</v>
      </c>
      <c r="J93" s="228">
        <f>'6.Cons Profit &amp; Loss'!H42</f>
        <v>485353.69149999996</v>
      </c>
    </row>
    <row r="94" spans="2:10" ht="15.75" customHeight="1">
      <c r="B94" s="140" t="str">
        <f t="shared" si="10"/>
        <v>Add. Preliminary exp Written off</v>
      </c>
      <c r="C94" s="140"/>
      <c r="D94" s="228">
        <f>'6.Cons Profit &amp; Loss'!B43</f>
        <v>20000</v>
      </c>
      <c r="E94" s="228">
        <f>'6.Cons Profit &amp; Loss'!C43</f>
        <v>20000</v>
      </c>
      <c r="F94" s="228">
        <f>'6.Cons Profit &amp; Loss'!D43</f>
        <v>20000</v>
      </c>
      <c r="G94" s="228">
        <f>'6.Cons Profit &amp; Loss'!E43</f>
        <v>20000</v>
      </c>
      <c r="H94" s="228">
        <f>'6.Cons Profit &amp; Loss'!F43</f>
        <v>20000</v>
      </c>
      <c r="I94" s="228">
        <f>'6.Cons Profit &amp; Loss'!G43</f>
        <v>0</v>
      </c>
      <c r="J94" s="228">
        <f>'6.Cons Profit &amp; Loss'!H43</f>
        <v>0</v>
      </c>
    </row>
    <row r="95" spans="2:10" ht="15.75" customHeight="1">
      <c r="B95" s="140" t="str">
        <f>B63</f>
        <v xml:space="preserve">Net Cash Accrual (A)      </v>
      </c>
      <c r="C95" s="140"/>
      <c r="D95" s="228">
        <f t="shared" ref="D95:J95" si="11">SUM(D92:D94)</f>
        <v>1753507.9732529051</v>
      </c>
      <c r="E95" s="228">
        <f t="shared" si="11"/>
        <v>2162917.394154612</v>
      </c>
      <c r="F95" s="228">
        <f t="shared" si="11"/>
        <v>3032704.267350194</v>
      </c>
      <c r="G95" s="228">
        <f t="shared" si="11"/>
        <v>3171832.2454312295</v>
      </c>
      <c r="H95" s="228">
        <f t="shared" si="11"/>
        <v>3326262.502343907</v>
      </c>
      <c r="I95" s="228">
        <f t="shared" si="11"/>
        <v>3490731.7628882192</v>
      </c>
      <c r="J95" s="228">
        <f t="shared" si="11"/>
        <v>3675873.9169838736</v>
      </c>
    </row>
    <row r="96" spans="2:10" ht="15.75" customHeight="1">
      <c r="B96" s="140" t="s">
        <v>478</v>
      </c>
      <c r="C96" s="229"/>
      <c r="D96" s="230">
        <f>D95-C91</f>
        <v>-7770987.0267470945</v>
      </c>
      <c r="E96" s="230">
        <f t="shared" ref="E96:H96" si="12">D96+E95</f>
        <v>-5608069.6325924825</v>
      </c>
      <c r="F96" s="230">
        <f t="shared" si="12"/>
        <v>-2575365.3652422884</v>
      </c>
      <c r="G96" s="230">
        <f t="shared" si="12"/>
        <v>596466.88018894102</v>
      </c>
      <c r="H96" s="230">
        <f t="shared" si="12"/>
        <v>3922729.382532848</v>
      </c>
      <c r="I96" s="231"/>
      <c r="J96" s="231"/>
    </row>
    <row r="97" spans="2:10" ht="15.75" customHeight="1">
      <c r="B97" s="84"/>
      <c r="C97" s="84"/>
      <c r="D97" s="84"/>
      <c r="E97" s="84"/>
      <c r="F97" s="84"/>
      <c r="G97" s="84"/>
      <c r="H97" s="84"/>
      <c r="I97" s="84"/>
      <c r="J97" s="84"/>
    </row>
    <row r="98" spans="2:10" ht="15.75" customHeight="1">
      <c r="B98" s="164" t="s">
        <v>479</v>
      </c>
      <c r="C98" s="84"/>
      <c r="D98" s="232">
        <f>4+(-G96/H95)</f>
        <v>3.8206795525703008</v>
      </c>
      <c r="E98" s="84"/>
      <c r="F98" s="84"/>
      <c r="G98" s="84"/>
      <c r="H98" s="84"/>
      <c r="I98" s="84"/>
      <c r="J98" s="84"/>
    </row>
    <row r="99" spans="2:10" ht="15.75" customHeight="1">
      <c r="B99" s="84"/>
      <c r="C99" s="84"/>
      <c r="D99" s="84"/>
      <c r="E99" s="84"/>
      <c r="F99" s="84"/>
      <c r="G99" s="84"/>
      <c r="H99" s="84"/>
      <c r="I99" s="84"/>
      <c r="J99" s="84"/>
    </row>
    <row r="100" spans="2:10" ht="15.75" customHeight="1">
      <c r="B100" s="429" t="s">
        <v>480</v>
      </c>
      <c r="C100" s="378"/>
      <c r="D100" s="378"/>
      <c r="E100" s="378"/>
      <c r="F100" s="378"/>
      <c r="G100" s="378"/>
      <c r="H100" s="378"/>
      <c r="I100" s="378"/>
      <c r="J100" s="378"/>
    </row>
    <row r="101" spans="2:10" ht="15.75" customHeight="1"/>
    <row r="102" spans="2:10" ht="15.75" customHeight="1">
      <c r="B102" s="394" t="s">
        <v>481</v>
      </c>
      <c r="C102" s="378"/>
      <c r="D102" s="378"/>
      <c r="E102" s="378"/>
      <c r="F102" s="378"/>
      <c r="G102" s="378"/>
      <c r="H102" s="378"/>
      <c r="I102" s="378"/>
    </row>
    <row r="103" spans="2:10" ht="15.75" customHeight="1"/>
    <row r="104" spans="2:10" ht="15.75" customHeight="1">
      <c r="B104" s="221" t="s">
        <v>150</v>
      </c>
      <c r="C104" s="221" t="s">
        <v>153</v>
      </c>
      <c r="D104" s="221" t="s">
        <v>154</v>
      </c>
      <c r="E104" s="221" t="s">
        <v>155</v>
      </c>
      <c r="F104" s="221" t="s">
        <v>156</v>
      </c>
      <c r="G104" s="221" t="s">
        <v>157</v>
      </c>
      <c r="H104" s="221" t="s">
        <v>158</v>
      </c>
      <c r="I104" s="221" t="s">
        <v>159</v>
      </c>
    </row>
    <row r="105" spans="2:10" ht="15.75" customHeight="1">
      <c r="B105" s="222"/>
      <c r="C105" s="223"/>
      <c r="D105" s="223"/>
      <c r="E105" s="223"/>
      <c r="F105" s="223"/>
      <c r="G105" s="223"/>
      <c r="H105" s="223"/>
      <c r="I105" s="223"/>
    </row>
    <row r="106" spans="2:10" ht="15.75" customHeight="1">
      <c r="B106" s="78" t="s">
        <v>482</v>
      </c>
      <c r="C106" s="80">
        <f>'6.Cons Profit &amp; Loss'!B40</f>
        <v>3080890.3571428657</v>
      </c>
      <c r="D106" s="80">
        <f>'6.Cons Profit &amp; Loss'!C40</f>
        <v>4209254.3452380896</v>
      </c>
      <c r="E106" s="80">
        <f>'6.Cons Profit &amp; Loss'!D40</f>
        <v>5487862.4375</v>
      </c>
      <c r="F106" s="80">
        <f>'6.Cons Profit &amp; Loss'!E40</f>
        <v>5762255.5593749881</v>
      </c>
      <c r="G106" s="80">
        <f>'6.Cons Profit &amp; Loss'!F40</f>
        <v>6050368.3373437524</v>
      </c>
      <c r="H106" s="80">
        <f>'6.Cons Profit &amp; Loss'!G40</f>
        <v>6352886.7542109489</v>
      </c>
      <c r="I106" s="80">
        <f>'6.Cons Profit &amp; Loss'!H40</f>
        <v>6670531.0919214785</v>
      </c>
    </row>
    <row r="107" spans="2:10" ht="15.75" customHeight="1">
      <c r="B107" s="78" t="s">
        <v>483</v>
      </c>
      <c r="C107" s="80">
        <f>'6.Cons Profit &amp; Loss'!B42</f>
        <v>485353.69149999996</v>
      </c>
      <c r="D107" s="80">
        <f>'6.Cons Profit &amp; Loss'!C42</f>
        <v>485353.69149999996</v>
      </c>
      <c r="E107" s="80">
        <f>'6.Cons Profit &amp; Loss'!D42</f>
        <v>485353.69149999996</v>
      </c>
      <c r="F107" s="80">
        <f>'6.Cons Profit &amp; Loss'!E42</f>
        <v>485353.69149999996</v>
      </c>
      <c r="G107" s="80">
        <f>'6.Cons Profit &amp; Loss'!F42</f>
        <v>485353.69149999996</v>
      </c>
      <c r="H107" s="80">
        <f>'6.Cons Profit &amp; Loss'!G42</f>
        <v>485353.69149999996</v>
      </c>
      <c r="I107" s="80">
        <f>'6.Cons Profit &amp; Loss'!H42</f>
        <v>485353.69149999996</v>
      </c>
    </row>
    <row r="108" spans="2:10" ht="15.75" customHeight="1">
      <c r="B108" s="78" t="s">
        <v>484</v>
      </c>
      <c r="C108" s="80">
        <f>'6.Cons Profit &amp; Loss'!B43</f>
        <v>20000</v>
      </c>
      <c r="D108" s="80">
        <f>'6.Cons Profit &amp; Loss'!C43</f>
        <v>20000</v>
      </c>
      <c r="E108" s="80">
        <f>'6.Cons Profit &amp; Loss'!D43</f>
        <v>20000</v>
      </c>
      <c r="F108" s="80">
        <f>'6.Cons Profit &amp; Loss'!E43</f>
        <v>20000</v>
      </c>
      <c r="G108" s="80">
        <f>'6.Cons Profit &amp; Loss'!F43</f>
        <v>20000</v>
      </c>
      <c r="H108" s="80">
        <f>'6.Cons Profit &amp; Loss'!G43</f>
        <v>0</v>
      </c>
      <c r="I108" s="80">
        <f>'6.Cons Profit &amp; Loss'!H43</f>
        <v>0</v>
      </c>
    </row>
    <row r="109" spans="2:10" ht="15.75" customHeight="1">
      <c r="B109" s="78" t="s">
        <v>485</v>
      </c>
      <c r="C109" s="80">
        <f>'8.Cash Flow '!C26</f>
        <v>237243.49600351418</v>
      </c>
      <c r="D109" s="80">
        <f>'8.Cash Flow '!D26</f>
        <v>212590.51692474866</v>
      </c>
      <c r="E109" s="80">
        <f>'8.Cash Flow '!E26</f>
        <v>184534.62596456605</v>
      </c>
      <c r="F109" s="80">
        <f>'8.Cash Flow '!F26</f>
        <v>152606.11075126112</v>
      </c>
      <c r="G109" s="80">
        <f>'8.Cash Flow '!G26</f>
        <v>116270.42334881719</v>
      </c>
      <c r="H109" s="80">
        <f>'8.Cash Flow '!H26</f>
        <v>74919.230843067824</v>
      </c>
      <c r="I109" s="80">
        <f>'8.Cash Flow '!I26</f>
        <v>27860.230618056656</v>
      </c>
    </row>
    <row r="110" spans="2:10" ht="15.75" customHeight="1">
      <c r="B110" s="81" t="s">
        <v>87</v>
      </c>
      <c r="C110" s="82">
        <f t="shared" ref="C110:I110" si="13">SUM(C106:C109)</f>
        <v>3823487.5446463795</v>
      </c>
      <c r="D110" s="82">
        <f t="shared" si="13"/>
        <v>4927198.5536628384</v>
      </c>
      <c r="E110" s="82">
        <f t="shared" si="13"/>
        <v>6177750.7549645659</v>
      </c>
      <c r="F110" s="82">
        <f t="shared" si="13"/>
        <v>6420215.3616262488</v>
      </c>
      <c r="G110" s="82">
        <f t="shared" si="13"/>
        <v>6671992.4521925692</v>
      </c>
      <c r="H110" s="82">
        <f t="shared" si="13"/>
        <v>6913159.6765540168</v>
      </c>
      <c r="I110" s="82">
        <f t="shared" si="13"/>
        <v>7183745.0140395351</v>
      </c>
    </row>
    <row r="111" spans="2:10" s="367" customFormat="1" ht="15.75" customHeight="1">
      <c r="B111" s="369" t="s">
        <v>776</v>
      </c>
      <c r="C111" s="370">
        <f>+C110*0.4</f>
        <v>1529395.0178585518</v>
      </c>
      <c r="D111" s="370">
        <f t="shared" ref="D111:I111" si="14">+D110*0.4</f>
        <v>1970879.4214651354</v>
      </c>
      <c r="E111" s="370">
        <f t="shared" si="14"/>
        <v>2471100.3019858263</v>
      </c>
      <c r="F111" s="370">
        <f t="shared" si="14"/>
        <v>2568086.1446504998</v>
      </c>
      <c r="G111" s="370">
        <f t="shared" si="14"/>
        <v>2668796.9808770278</v>
      </c>
      <c r="H111" s="370">
        <f t="shared" si="14"/>
        <v>2765263.8706216067</v>
      </c>
      <c r="I111" s="370">
        <f t="shared" si="14"/>
        <v>2873498.0056158141</v>
      </c>
    </row>
    <row r="112" spans="2:10" ht="15.75" customHeight="1">
      <c r="B112" s="78"/>
      <c r="C112" s="78"/>
      <c r="D112" s="78"/>
      <c r="E112" s="78"/>
      <c r="F112" s="78"/>
      <c r="G112" s="78"/>
      <c r="H112" s="78"/>
      <c r="I112" s="78"/>
    </row>
    <row r="113" spans="2:18" ht="15.75" customHeight="1">
      <c r="B113" s="78" t="s">
        <v>486</v>
      </c>
      <c r="C113" s="82">
        <f>'8.Cash Flow '!C25+'8.Cash Flow '!C26</f>
        <v>415846.23349343322</v>
      </c>
      <c r="D113" s="82">
        <f>'8.Cash Flow '!D25+'8.Cash Flow '!D26</f>
        <v>415846.23349343316</v>
      </c>
      <c r="E113" s="82">
        <f>'8.Cash Flow '!E25+'8.Cash Flow '!E26</f>
        <v>415846.23349343316</v>
      </c>
      <c r="F113" s="82">
        <f>'8.Cash Flow '!F25+'8.Cash Flow '!F26</f>
        <v>415846.23349343322</v>
      </c>
      <c r="G113" s="82">
        <f>'8.Cash Flow '!G25+'8.Cash Flow '!G26</f>
        <v>415846.23349343322</v>
      </c>
      <c r="H113" s="82">
        <f>'8.Cash Flow '!H25+'8.Cash Flow '!H26</f>
        <v>415846.23349343322</v>
      </c>
      <c r="I113" s="82">
        <f>'8.Cash Flow '!I25+'8.Cash Flow '!I26</f>
        <v>415846.23349343322</v>
      </c>
    </row>
    <row r="114" spans="2:18" ht="15.75" customHeight="1">
      <c r="B114" s="78"/>
      <c r="C114" s="78"/>
      <c r="D114" s="78"/>
      <c r="E114" s="78"/>
      <c r="F114" s="78"/>
      <c r="G114" s="78"/>
      <c r="H114" s="78"/>
      <c r="I114" s="78"/>
    </row>
    <row r="115" spans="2:18" ht="15.75" customHeight="1">
      <c r="B115" s="81" t="s">
        <v>487</v>
      </c>
      <c r="C115" s="233">
        <f>C111/C113</f>
        <v>3.6777897565896867</v>
      </c>
      <c r="D115" s="233">
        <f t="shared" ref="D115:I115" si="15">D111/D113</f>
        <v>4.739442762071473</v>
      </c>
      <c r="E115" s="233">
        <f t="shared" si="15"/>
        <v>5.9423414304529194</v>
      </c>
      <c r="F115" s="233">
        <f t="shared" si="15"/>
        <v>6.1755666826090261</v>
      </c>
      <c r="G115" s="233">
        <f t="shared" si="15"/>
        <v>6.4177495572270749</v>
      </c>
      <c r="H115" s="233">
        <f t="shared" si="15"/>
        <v>6.6497268651232693</v>
      </c>
      <c r="I115" s="233">
        <f t="shared" si="15"/>
        <v>6.9100012797427217</v>
      </c>
    </row>
    <row r="116" spans="2:18" ht="15.75" customHeight="1">
      <c r="B116" s="73"/>
      <c r="C116" s="73"/>
      <c r="D116" s="73"/>
      <c r="E116" s="73"/>
      <c r="F116" s="73"/>
      <c r="G116" s="73"/>
      <c r="H116" s="73"/>
      <c r="I116" s="73"/>
    </row>
    <row r="117" spans="2:18" ht="15.75" customHeight="1">
      <c r="B117" s="73" t="s">
        <v>488</v>
      </c>
      <c r="C117" s="128">
        <f>AVERAGE(C115:I115)</f>
        <v>5.7875169048308814</v>
      </c>
      <c r="D117" s="73"/>
      <c r="E117" s="73"/>
      <c r="F117" s="73"/>
      <c r="G117" s="73"/>
      <c r="H117" s="73"/>
      <c r="I117" s="73"/>
    </row>
    <row r="118" spans="2:18" ht="15.75" customHeight="1"/>
    <row r="119" spans="2:18" ht="29.25" customHeight="1">
      <c r="B119" s="400" t="s">
        <v>489</v>
      </c>
      <c r="C119" s="378"/>
      <c r="D119" s="378"/>
      <c r="E119" s="378"/>
      <c r="F119" s="378"/>
      <c r="G119" s="378"/>
      <c r="H119" s="378"/>
      <c r="I119" s="378"/>
      <c r="J119" s="378"/>
    </row>
    <row r="120" spans="2:18" ht="15.75" customHeight="1"/>
    <row r="121" spans="2:18" ht="15.75" customHeight="1">
      <c r="B121" s="428" t="s">
        <v>490</v>
      </c>
      <c r="C121" s="380"/>
      <c r="D121" s="380"/>
      <c r="E121" s="380"/>
      <c r="F121" s="380"/>
      <c r="G121" s="380"/>
      <c r="H121" s="380"/>
      <c r="I121" s="380"/>
      <c r="K121" s="427"/>
      <c r="L121" s="378"/>
      <c r="M121" s="378"/>
      <c r="N121" s="378"/>
      <c r="O121" s="378"/>
      <c r="P121" s="378"/>
      <c r="Q121" s="378"/>
      <c r="R121" s="378"/>
    </row>
    <row r="122" spans="2:18" ht="15.75" customHeight="1">
      <c r="B122" s="130" t="s">
        <v>491</v>
      </c>
      <c r="C122" s="131" t="s">
        <v>153</v>
      </c>
      <c r="D122" s="131" t="s">
        <v>154</v>
      </c>
      <c r="E122" s="131" t="s">
        <v>155</v>
      </c>
      <c r="F122" s="131" t="s">
        <v>156</v>
      </c>
      <c r="G122" s="131" t="s">
        <v>157</v>
      </c>
      <c r="H122" s="131" t="s">
        <v>158</v>
      </c>
      <c r="I122" s="131" t="s">
        <v>159</v>
      </c>
    </row>
    <row r="123" spans="2:18" ht="15.75" customHeight="1">
      <c r="B123" s="78" t="str">
        <f>'6.Cons Profit &amp; Loss'!A8</f>
        <v>Faclitiy 1 - Cleaning &amp; Grading</v>
      </c>
      <c r="C123" s="80">
        <f>'6.Cons Profit &amp; Loss'!B8*(1+$M$124)</f>
        <v>48242357.625</v>
      </c>
      <c r="D123" s="80">
        <f>'6.Cons Profit &amp; Loss'!C8*(1+$M$124)</f>
        <v>53019776.25</v>
      </c>
      <c r="E123" s="80">
        <f>'6.Cons Profit &amp; Loss'!D8*(1+$M$124)</f>
        <v>55670765.0625</v>
      </c>
      <c r="F123" s="80">
        <f>'6.Cons Profit &amp; Loss'!E8*(1+$M$124)</f>
        <v>58454303.315625019</v>
      </c>
      <c r="G123" s="80">
        <f>'6.Cons Profit &amp; Loss'!F8*(1+$M$124)</f>
        <v>61377018.481406264</v>
      </c>
      <c r="H123" s="80">
        <f>'6.Cons Profit &amp; Loss'!G8*(1+$M$124)</f>
        <v>64445869.405476585</v>
      </c>
      <c r="I123" s="80">
        <f>'6.Cons Profit &amp; Loss'!H8*(1+$M$124)</f>
        <v>67668162.875750422</v>
      </c>
    </row>
    <row r="124" spans="2:18" ht="15.75" customHeight="1">
      <c r="B124" s="78" t="str">
        <f>'6.Cons Profit &amp; Loss'!A9</f>
        <v>Faclitiy 2 - Processing Unit- Dal Mill</v>
      </c>
      <c r="C124" s="80">
        <f>'6.Cons Profit &amp; Loss'!B9*(1+$M$124)</f>
        <v>101469900</v>
      </c>
      <c r="D124" s="80">
        <f>'6.Cons Profit &amp; Loss'!C9*(1+$M$124)</f>
        <v>135106689.375</v>
      </c>
      <c r="E124" s="80">
        <f>'6.Cons Profit &amp; Loss'!D9*(1+$M$124)</f>
        <v>144862298.4375</v>
      </c>
      <c r="F124" s="80">
        <f>'6.Cons Profit &amp; Loss'!E9*(1+$M$124)</f>
        <v>152105413.35937503</v>
      </c>
      <c r="G124" s="80">
        <f>'6.Cons Profit &amp; Loss'!F9*(1+$M$124)</f>
        <v>159710684.02734378</v>
      </c>
      <c r="H124" s="80">
        <f>'6.Cons Profit &amp; Loss'!G9*(1+$M$124)</f>
        <v>167696218.22871098</v>
      </c>
      <c r="I124" s="80">
        <f>'6.Cons Profit &amp; Loss'!H9*(1+$M$124)</f>
        <v>176081029.14014655</v>
      </c>
      <c r="L124" s="164" t="s">
        <v>492</v>
      </c>
      <c r="M124" s="234">
        <v>0.05</v>
      </c>
    </row>
    <row r="125" spans="2:18" ht="15.75" hidden="1" customHeight="1">
      <c r="B125" s="78" t="str">
        <f>'6.Cons Profit &amp; Loss'!A10</f>
        <v>Faclitiy 3 - Warehouse</v>
      </c>
      <c r="C125" s="80">
        <f>'6.Cons Profit &amp; Loss'!B10*(1+$M$124)</f>
        <v>0</v>
      </c>
      <c r="D125" s="80">
        <f>'6.Cons Profit &amp; Loss'!C10*(1+$M$124)</f>
        <v>0</v>
      </c>
      <c r="E125" s="80">
        <f>'6.Cons Profit &amp; Loss'!D10*(1+$M$124)</f>
        <v>0</v>
      </c>
      <c r="F125" s="80">
        <f>'6.Cons Profit &amp; Loss'!E10*(1+$M$124)</f>
        <v>0</v>
      </c>
      <c r="G125" s="80">
        <f>'6.Cons Profit &amp; Loss'!F10*(1+$M$124)</f>
        <v>0</v>
      </c>
      <c r="H125" s="80">
        <f>'6.Cons Profit &amp; Loss'!G10*(1+$M$124)</f>
        <v>0</v>
      </c>
      <c r="I125" s="80">
        <f>'6.Cons Profit &amp; Loss'!H10*(1+$M$124)</f>
        <v>0</v>
      </c>
      <c r="L125" s="164" t="s">
        <v>493</v>
      </c>
      <c r="M125" s="234">
        <v>0.05</v>
      </c>
    </row>
    <row r="126" spans="2:18" ht="15.75" hidden="1" customHeight="1">
      <c r="B126" s="78" t="str">
        <f>'6.Cons Profit &amp; Loss'!A11</f>
        <v xml:space="preserve">Faclitiy 4 - Custom Hiring </v>
      </c>
      <c r="C126" s="80">
        <f>'6.Cons Profit &amp; Loss'!B11*(1+$M$124)</f>
        <v>0</v>
      </c>
      <c r="D126" s="80">
        <f>'6.Cons Profit &amp; Loss'!C11*(1+$M$124)</f>
        <v>0</v>
      </c>
      <c r="E126" s="80">
        <f>'6.Cons Profit &amp; Loss'!D11*(1+$M$124)</f>
        <v>0</v>
      </c>
      <c r="F126" s="80">
        <f>'6.Cons Profit &amp; Loss'!E11*(1+$M$124)</f>
        <v>0</v>
      </c>
      <c r="G126" s="80">
        <f>'6.Cons Profit &amp; Loss'!F11*(1+$M$124)</f>
        <v>0</v>
      </c>
      <c r="H126" s="80">
        <f>'6.Cons Profit &amp; Loss'!G11*(1+$M$124)</f>
        <v>0</v>
      </c>
      <c r="I126" s="80">
        <f>'6.Cons Profit &amp; Loss'!H11*(1+$M$124)</f>
        <v>0</v>
      </c>
    </row>
    <row r="127" spans="2:18" ht="15.75" hidden="1" customHeight="1">
      <c r="B127" s="78" t="str">
        <f>'6.Cons Profit &amp; Loss'!A12</f>
        <v>Faclitiy 5 - Agri Input Centre</v>
      </c>
      <c r="C127" s="80">
        <f>'6.Cons Profit &amp; Loss'!B12*(1+$M$124)</f>
        <v>0</v>
      </c>
      <c r="D127" s="80">
        <f>'6.Cons Profit &amp; Loss'!C12*(1+$M$124)</f>
        <v>0</v>
      </c>
      <c r="E127" s="80">
        <f>'6.Cons Profit &amp; Loss'!D12*(1+$M$124)</f>
        <v>0</v>
      </c>
      <c r="F127" s="80">
        <f>'6.Cons Profit &amp; Loss'!E12*(1+$M$124)</f>
        <v>0</v>
      </c>
      <c r="G127" s="80">
        <f>'6.Cons Profit &amp; Loss'!F12*(1+$M$124)</f>
        <v>0</v>
      </c>
      <c r="H127" s="80">
        <f>'6.Cons Profit &amp; Loss'!G12*(1+$M$124)</f>
        <v>0</v>
      </c>
      <c r="I127" s="80">
        <f>'6.Cons Profit &amp; Loss'!H12*(1+$M$124)</f>
        <v>0</v>
      </c>
    </row>
    <row r="128" spans="2:18" ht="15.75" hidden="1" customHeight="1">
      <c r="B128" s="78" t="str">
        <f>'6.Cons Profit &amp; Loss'!A13</f>
        <v>Facility 6 - Processing Unit - Horti Commodity</v>
      </c>
      <c r="C128" s="80">
        <f>'6.Cons Profit &amp; Loss'!B13*(1+$M$124)</f>
        <v>0</v>
      </c>
      <c r="D128" s="80">
        <f>'6.Cons Profit &amp; Loss'!C13*(1+$M$124)</f>
        <v>0</v>
      </c>
      <c r="E128" s="80">
        <f>'6.Cons Profit &amp; Loss'!D13*(1+$M$124)</f>
        <v>0</v>
      </c>
      <c r="F128" s="80">
        <f>'6.Cons Profit &amp; Loss'!E13*(1+$M$124)</f>
        <v>0</v>
      </c>
      <c r="G128" s="80">
        <f>'6.Cons Profit &amp; Loss'!F13*(1+$M$124)</f>
        <v>0</v>
      </c>
      <c r="H128" s="80">
        <f>'6.Cons Profit &amp; Loss'!G13*(1+$M$124)</f>
        <v>0</v>
      </c>
      <c r="I128" s="80">
        <f>'6.Cons Profit &amp; Loss'!H13*(1+$M$124)</f>
        <v>0</v>
      </c>
    </row>
    <row r="129" spans="2:9" ht="15.75" hidden="1" customHeight="1">
      <c r="B129" s="78">
        <f>'6.Cons Profit &amp; Loss'!A14</f>
        <v>0</v>
      </c>
      <c r="C129" s="80">
        <f>'6.Cons Profit &amp; Loss'!B14*(1+$M$124)</f>
        <v>0</v>
      </c>
      <c r="D129" s="80">
        <f>'6.Cons Profit &amp; Loss'!C14*(1+$M$124)</f>
        <v>0</v>
      </c>
      <c r="E129" s="80">
        <f>'6.Cons Profit &amp; Loss'!D14*(1+$M$124)</f>
        <v>0</v>
      </c>
      <c r="F129" s="80">
        <f>'6.Cons Profit &amp; Loss'!E14*(1+$M$124)</f>
        <v>0</v>
      </c>
      <c r="G129" s="80">
        <f>'6.Cons Profit &amp; Loss'!F14*(1+$M$124)</f>
        <v>0</v>
      </c>
      <c r="H129" s="80">
        <f>'6.Cons Profit &amp; Loss'!G14*(1+$M$124)</f>
        <v>0</v>
      </c>
      <c r="I129" s="80">
        <f>'6.Cons Profit &amp; Loss'!H14*(1+$M$124)</f>
        <v>0</v>
      </c>
    </row>
    <row r="130" spans="2:9" ht="15.75" customHeight="1">
      <c r="B130" s="78" t="s">
        <v>494</v>
      </c>
      <c r="C130" s="80">
        <f t="shared" ref="C130:I130" si="16">SUM(C123:C129)</f>
        <v>149712257.625</v>
      </c>
      <c r="D130" s="80">
        <f t="shared" si="16"/>
        <v>188126465.625</v>
      </c>
      <c r="E130" s="80">
        <f t="shared" si="16"/>
        <v>200533063.5</v>
      </c>
      <c r="F130" s="80">
        <f t="shared" si="16"/>
        <v>210559716.67500004</v>
      </c>
      <c r="G130" s="80">
        <f t="shared" si="16"/>
        <v>221087702.50875005</v>
      </c>
      <c r="H130" s="80">
        <f t="shared" si="16"/>
        <v>232142087.63418758</v>
      </c>
      <c r="I130" s="80">
        <f t="shared" si="16"/>
        <v>243749192.01589698</v>
      </c>
    </row>
    <row r="131" spans="2:9" ht="15.75" customHeight="1">
      <c r="B131" s="78" t="s">
        <v>495</v>
      </c>
      <c r="C131" s="80"/>
      <c r="D131" s="80"/>
      <c r="E131" s="80"/>
      <c r="F131" s="80"/>
      <c r="G131" s="80"/>
      <c r="H131" s="80"/>
      <c r="I131" s="80"/>
    </row>
    <row r="132" spans="2:9" ht="15.75" customHeight="1">
      <c r="B132" s="78" t="s">
        <v>496</v>
      </c>
      <c r="C132" s="80">
        <f>'6.Cons Profit &amp; Loss'!B36</f>
        <v>2106000</v>
      </c>
      <c r="D132" s="80">
        <f>'6.Cons Profit &amp; Loss'!C36</f>
        <v>2211300</v>
      </c>
      <c r="E132" s="80">
        <f>'6.Cons Profit &amp; Loss'!D36</f>
        <v>2321865</v>
      </c>
      <c r="F132" s="80">
        <f>'6.Cons Profit &amp; Loss'!E36</f>
        <v>2437958.2500000005</v>
      </c>
      <c r="G132" s="80">
        <f>'6.Cons Profit &amp; Loss'!F36</f>
        <v>2559856.1625000006</v>
      </c>
      <c r="H132" s="80">
        <f>'6.Cons Profit &amp; Loss'!G36</f>
        <v>2687848.9706250005</v>
      </c>
      <c r="I132" s="80">
        <f>'6.Cons Profit &amp; Loss'!H36</f>
        <v>2822241.419156251</v>
      </c>
    </row>
    <row r="133" spans="2:9" ht="15.75" customHeight="1">
      <c r="B133" s="78" t="s">
        <v>358</v>
      </c>
      <c r="C133" s="80">
        <f>'6.Cons Profit &amp; Loss'!B25*(1+M124)</f>
        <v>144266022.75</v>
      </c>
      <c r="D133" s="80">
        <f>'6.Cons Profit &amp; Loss'!C25*(1+N124)</f>
        <v>172747508.15476191</v>
      </c>
      <c r="E133" s="80">
        <f>'6.Cons Profit &amp; Loss'!D25*(1+O124)</f>
        <v>183174142.5625</v>
      </c>
      <c r="F133" s="80">
        <f>'6.Cons Profit &amp; Loss'!E25*(1+P124)</f>
        <v>192332849.69062507</v>
      </c>
      <c r="G133" s="80">
        <f>'6.Cons Profit &amp; Loss'!F25*(1+Q124)</f>
        <v>201949492.1751563</v>
      </c>
      <c r="H133" s="80">
        <f>'6.Cons Profit &amp; Loss'!G25*(1+R124)</f>
        <v>212046966.78391409</v>
      </c>
      <c r="I133" s="80">
        <f>'6.Cons Profit &amp; Loss'!H25*(1+S124)</f>
        <v>222649315.12310985</v>
      </c>
    </row>
    <row r="134" spans="2:9" ht="15.75" customHeight="1">
      <c r="B134" s="78" t="s">
        <v>497</v>
      </c>
      <c r="C134" s="80">
        <f t="shared" ref="C134:I134" si="17">SUM(C132:C133)</f>
        <v>146372022.75</v>
      </c>
      <c r="D134" s="80">
        <f t="shared" si="17"/>
        <v>174958808.15476191</v>
      </c>
      <c r="E134" s="80">
        <f t="shared" si="17"/>
        <v>185496007.5625</v>
      </c>
      <c r="F134" s="80">
        <f t="shared" si="17"/>
        <v>194770807.94062507</v>
      </c>
      <c r="G134" s="80">
        <f t="shared" si="17"/>
        <v>204509348.33765629</v>
      </c>
      <c r="H134" s="80">
        <f t="shared" si="17"/>
        <v>214734815.7545391</v>
      </c>
      <c r="I134" s="80">
        <f t="shared" si="17"/>
        <v>225471556.5422661</v>
      </c>
    </row>
    <row r="135" spans="2:9" ht="15.75" customHeight="1">
      <c r="B135" s="81" t="s">
        <v>498</v>
      </c>
      <c r="C135" s="82">
        <f t="shared" ref="C135:I135" si="18">+C130-C134</f>
        <v>3340234.875</v>
      </c>
      <c r="D135" s="82">
        <f t="shared" si="18"/>
        <v>13167657.47023809</v>
      </c>
      <c r="E135" s="82">
        <f t="shared" si="18"/>
        <v>15037055.9375</v>
      </c>
      <c r="F135" s="82">
        <f t="shared" si="18"/>
        <v>15788908.73437497</v>
      </c>
      <c r="G135" s="82">
        <f t="shared" si="18"/>
        <v>16578354.171093762</v>
      </c>
      <c r="H135" s="82">
        <f t="shared" si="18"/>
        <v>17407271.879648477</v>
      </c>
      <c r="I135" s="82">
        <f t="shared" si="18"/>
        <v>18277635.473630875</v>
      </c>
    </row>
    <row r="136" spans="2:9" ht="15.75" customHeight="1">
      <c r="B136" s="73"/>
      <c r="C136" s="235"/>
      <c r="D136" s="235"/>
      <c r="E136" s="235"/>
      <c r="F136" s="235"/>
      <c r="G136" s="235"/>
      <c r="H136" s="235"/>
      <c r="I136" s="235"/>
    </row>
    <row r="137" spans="2:9" ht="15.75" customHeight="1">
      <c r="B137" s="130" t="s">
        <v>499</v>
      </c>
      <c r="C137" s="131" t="s">
        <v>153</v>
      </c>
      <c r="D137" s="131" t="s">
        <v>154</v>
      </c>
      <c r="E137" s="131" t="s">
        <v>155</v>
      </c>
      <c r="F137" s="131" t="s">
        <v>156</v>
      </c>
      <c r="G137" s="131" t="s">
        <v>157</v>
      </c>
      <c r="H137" s="131" t="s">
        <v>158</v>
      </c>
      <c r="I137" s="131" t="s">
        <v>159</v>
      </c>
    </row>
    <row r="138" spans="2:9" ht="15.75" customHeight="1">
      <c r="B138" s="78" t="str">
        <f t="shared" ref="B138:B144" si="19">B123</f>
        <v>Faclitiy 1 - Cleaning &amp; Grading</v>
      </c>
      <c r="C138" s="236">
        <f>'6.Cons Profit &amp; Loss'!B8</f>
        <v>45945102.5</v>
      </c>
      <c r="D138" s="236">
        <f>'6.Cons Profit &amp; Loss'!C8</f>
        <v>50495025</v>
      </c>
      <c r="E138" s="236">
        <f>'6.Cons Profit &amp; Loss'!D8</f>
        <v>53019776.25</v>
      </c>
      <c r="F138" s="236">
        <f>'6.Cons Profit &amp; Loss'!E8</f>
        <v>55670765.062500015</v>
      </c>
      <c r="G138" s="236">
        <f>'6.Cons Profit &amp; Loss'!F8</f>
        <v>58454303.315625012</v>
      </c>
      <c r="H138" s="236">
        <f>'6.Cons Profit &amp; Loss'!G8</f>
        <v>61377018.481406271</v>
      </c>
      <c r="I138" s="236">
        <f>'6.Cons Profit &amp; Loss'!H8</f>
        <v>64445869.405476585</v>
      </c>
    </row>
    <row r="139" spans="2:9" ht="15.75" customHeight="1">
      <c r="B139" s="78" t="str">
        <f t="shared" si="19"/>
        <v>Faclitiy 2 - Processing Unit- Dal Mill</v>
      </c>
      <c r="C139" s="236">
        <f>'6.Cons Profit &amp; Loss'!B9</f>
        <v>96638000</v>
      </c>
      <c r="D139" s="236">
        <f>'6.Cons Profit &amp; Loss'!C9</f>
        <v>128673037.5</v>
      </c>
      <c r="E139" s="236">
        <f>'6.Cons Profit &amp; Loss'!D9</f>
        <v>137964093.75</v>
      </c>
      <c r="F139" s="236">
        <f>'6.Cons Profit &amp; Loss'!E9</f>
        <v>144862298.43750003</v>
      </c>
      <c r="G139" s="236">
        <f>'6.Cons Profit &amp; Loss'!F9</f>
        <v>152105413.35937503</v>
      </c>
      <c r="H139" s="236">
        <f>'6.Cons Profit &amp; Loss'!G9</f>
        <v>159710684.02734378</v>
      </c>
      <c r="I139" s="236">
        <f>'6.Cons Profit &amp; Loss'!H9</f>
        <v>167696218.22871101</v>
      </c>
    </row>
    <row r="140" spans="2:9" ht="15.75" hidden="1" customHeight="1">
      <c r="B140" s="78" t="str">
        <f t="shared" si="19"/>
        <v>Faclitiy 3 - Warehouse</v>
      </c>
      <c r="C140" s="236">
        <f>'6.Cons Profit &amp; Loss'!B10</f>
        <v>0</v>
      </c>
      <c r="D140" s="236">
        <f>'6.Cons Profit &amp; Loss'!C10</f>
        <v>0</v>
      </c>
      <c r="E140" s="236">
        <f>'6.Cons Profit &amp; Loss'!D10</f>
        <v>0</v>
      </c>
      <c r="F140" s="236">
        <f>'6.Cons Profit &amp; Loss'!E10</f>
        <v>0</v>
      </c>
      <c r="G140" s="236">
        <f>'6.Cons Profit &amp; Loss'!F10</f>
        <v>0</v>
      </c>
      <c r="H140" s="236">
        <f>'6.Cons Profit &amp; Loss'!G10</f>
        <v>0</v>
      </c>
      <c r="I140" s="236">
        <f>'6.Cons Profit &amp; Loss'!H10</f>
        <v>0</v>
      </c>
    </row>
    <row r="141" spans="2:9" ht="15.75" hidden="1" customHeight="1">
      <c r="B141" s="78" t="str">
        <f t="shared" si="19"/>
        <v xml:space="preserve">Faclitiy 4 - Custom Hiring </v>
      </c>
      <c r="C141" s="236">
        <f>'6.Cons Profit &amp; Loss'!B11</f>
        <v>0</v>
      </c>
      <c r="D141" s="236">
        <f>'6.Cons Profit &amp; Loss'!C11</f>
        <v>0</v>
      </c>
      <c r="E141" s="236">
        <f>'6.Cons Profit &amp; Loss'!D11</f>
        <v>0</v>
      </c>
      <c r="F141" s="236">
        <f>'6.Cons Profit &amp; Loss'!E11</f>
        <v>0</v>
      </c>
      <c r="G141" s="236">
        <f>'6.Cons Profit &amp; Loss'!F11</f>
        <v>0</v>
      </c>
      <c r="H141" s="236">
        <f>'6.Cons Profit &amp; Loss'!G11</f>
        <v>0</v>
      </c>
      <c r="I141" s="236">
        <f>'6.Cons Profit &amp; Loss'!H11</f>
        <v>0</v>
      </c>
    </row>
    <row r="142" spans="2:9" ht="15.75" hidden="1" customHeight="1">
      <c r="B142" s="78" t="str">
        <f t="shared" si="19"/>
        <v>Faclitiy 5 - Agri Input Centre</v>
      </c>
      <c r="C142" s="236">
        <f>'6.Cons Profit &amp; Loss'!B12</f>
        <v>0</v>
      </c>
      <c r="D142" s="236">
        <f>'6.Cons Profit &amp; Loss'!C12</f>
        <v>0</v>
      </c>
      <c r="E142" s="236">
        <f>'6.Cons Profit &amp; Loss'!D12</f>
        <v>0</v>
      </c>
      <c r="F142" s="236">
        <f>'6.Cons Profit &amp; Loss'!E12</f>
        <v>0</v>
      </c>
      <c r="G142" s="236">
        <f>'6.Cons Profit &amp; Loss'!F12</f>
        <v>0</v>
      </c>
      <c r="H142" s="236">
        <f>'6.Cons Profit &amp; Loss'!G12</f>
        <v>0</v>
      </c>
      <c r="I142" s="236">
        <f>'6.Cons Profit &amp; Loss'!H12</f>
        <v>0</v>
      </c>
    </row>
    <row r="143" spans="2:9" ht="15.75" hidden="1" customHeight="1">
      <c r="B143" s="78" t="str">
        <f t="shared" si="19"/>
        <v>Facility 6 - Processing Unit - Horti Commodity</v>
      </c>
      <c r="C143" s="236">
        <f>'6.Cons Profit &amp; Loss'!B13</f>
        <v>0</v>
      </c>
      <c r="D143" s="236">
        <f>'6.Cons Profit &amp; Loss'!C13</f>
        <v>0</v>
      </c>
      <c r="E143" s="236">
        <f>'6.Cons Profit &amp; Loss'!D13</f>
        <v>0</v>
      </c>
      <c r="F143" s="236">
        <f>'6.Cons Profit &amp; Loss'!E13</f>
        <v>0</v>
      </c>
      <c r="G143" s="236">
        <f>'6.Cons Profit &amp; Loss'!F13</f>
        <v>0</v>
      </c>
      <c r="H143" s="236">
        <f>'6.Cons Profit &amp; Loss'!G13</f>
        <v>0</v>
      </c>
      <c r="I143" s="236">
        <f>'6.Cons Profit &amp; Loss'!H13</f>
        <v>0</v>
      </c>
    </row>
    <row r="144" spans="2:9" ht="15.75" hidden="1" customHeight="1">
      <c r="B144" s="78">
        <f t="shared" si="19"/>
        <v>0</v>
      </c>
      <c r="C144" s="236">
        <f>'6.Cons Profit &amp; Loss'!B14</f>
        <v>0</v>
      </c>
      <c r="D144" s="236">
        <f>'6.Cons Profit &amp; Loss'!C14</f>
        <v>0</v>
      </c>
      <c r="E144" s="236">
        <f>'6.Cons Profit &amp; Loss'!D14</f>
        <v>0</v>
      </c>
      <c r="F144" s="236">
        <f>'6.Cons Profit &amp; Loss'!E14</f>
        <v>0</v>
      </c>
      <c r="G144" s="236">
        <f>'6.Cons Profit &amp; Loss'!F14</f>
        <v>0</v>
      </c>
      <c r="H144" s="236">
        <f>'6.Cons Profit &amp; Loss'!G14</f>
        <v>0</v>
      </c>
      <c r="I144" s="236">
        <f>'6.Cons Profit &amp; Loss'!H14</f>
        <v>0</v>
      </c>
    </row>
    <row r="145" spans="2:15" ht="15.75" customHeight="1">
      <c r="B145" s="78" t="s">
        <v>494</v>
      </c>
      <c r="C145" s="236">
        <f t="shared" ref="C145:I145" si="20">SUM(C138:C144)</f>
        <v>142583102.5</v>
      </c>
      <c r="D145" s="236">
        <f t="shared" si="20"/>
        <v>179168062.5</v>
      </c>
      <c r="E145" s="236">
        <f t="shared" si="20"/>
        <v>190983870</v>
      </c>
      <c r="F145" s="236">
        <f t="shared" si="20"/>
        <v>200533063.50000006</v>
      </c>
      <c r="G145" s="236">
        <f t="shared" si="20"/>
        <v>210559716.67500004</v>
      </c>
      <c r="H145" s="236">
        <f t="shared" si="20"/>
        <v>221087702.50875005</v>
      </c>
      <c r="I145" s="236">
        <f t="shared" si="20"/>
        <v>232142087.63418758</v>
      </c>
    </row>
    <row r="146" spans="2:15" ht="15.75" customHeight="1">
      <c r="B146" s="78" t="s">
        <v>495</v>
      </c>
      <c r="C146" s="237"/>
      <c r="D146" s="236"/>
      <c r="E146" s="236"/>
      <c r="F146" s="236"/>
      <c r="G146" s="236"/>
      <c r="H146" s="236"/>
      <c r="I146" s="236"/>
    </row>
    <row r="147" spans="2:15" ht="15.75" customHeight="1">
      <c r="B147" s="78" t="s">
        <v>496</v>
      </c>
      <c r="C147" s="238">
        <f>'6.Cons Profit &amp; Loss'!B36</f>
        <v>2106000</v>
      </c>
      <c r="D147" s="238">
        <f>'6.Cons Profit &amp; Loss'!C36</f>
        <v>2211300</v>
      </c>
      <c r="E147" s="238">
        <f>'6.Cons Profit &amp; Loss'!D36</f>
        <v>2321865</v>
      </c>
      <c r="F147" s="238">
        <f>'6.Cons Profit &amp; Loss'!E36</f>
        <v>2437958.2500000005</v>
      </c>
      <c r="G147" s="238">
        <f>'6.Cons Profit &amp; Loss'!F36</f>
        <v>2559856.1625000006</v>
      </c>
      <c r="H147" s="238">
        <f>'6.Cons Profit &amp; Loss'!G36</f>
        <v>2687848.9706250005</v>
      </c>
      <c r="I147" s="238">
        <f>'6.Cons Profit &amp; Loss'!H36</f>
        <v>2822241.419156251</v>
      </c>
    </row>
    <row r="148" spans="2:15" ht="15.75" customHeight="1">
      <c r="B148" s="78" t="s">
        <v>358</v>
      </c>
      <c r="C148" s="238">
        <f>'6.Cons Profit &amp; Loss'!B25*(1+$M$125)</f>
        <v>144266022.75</v>
      </c>
      <c r="D148" s="238">
        <f>'6.Cons Profit &amp; Loss'!C25*(1+$M$125)</f>
        <v>181384883.5625</v>
      </c>
      <c r="E148" s="238">
        <f>'6.Cons Profit &amp; Loss'!D25*(1+$M$125)</f>
        <v>192332849.69062501</v>
      </c>
      <c r="F148" s="238">
        <f>'6.Cons Profit &amp; Loss'!E25*(1+$M$125)</f>
        <v>201949492.17515633</v>
      </c>
      <c r="G148" s="238">
        <f>'6.Cons Profit &amp; Loss'!F25*(1+$M$125)</f>
        <v>212046966.78391412</v>
      </c>
      <c r="H148" s="238">
        <f>'6.Cons Profit &amp; Loss'!G25*(1+$M$125)</f>
        <v>222649315.12310982</v>
      </c>
      <c r="I148" s="238">
        <f>'6.Cons Profit &amp; Loss'!H25*(1+$M$125)</f>
        <v>233781780.87926534</v>
      </c>
    </row>
    <row r="149" spans="2:15" ht="15.75" customHeight="1">
      <c r="B149" s="78" t="s">
        <v>497</v>
      </c>
      <c r="C149" s="238">
        <f t="shared" ref="C149:I149" si="21">SUM(C147:C148)</f>
        <v>146372022.75</v>
      </c>
      <c r="D149" s="238">
        <f t="shared" si="21"/>
        <v>183596183.5625</v>
      </c>
      <c r="E149" s="238">
        <f t="shared" si="21"/>
        <v>194654714.69062501</v>
      </c>
      <c r="F149" s="238">
        <f t="shared" si="21"/>
        <v>204387450.42515633</v>
      </c>
      <c r="G149" s="238">
        <f t="shared" si="21"/>
        <v>214606822.94641411</v>
      </c>
      <c r="H149" s="238">
        <f t="shared" si="21"/>
        <v>225337164.09373483</v>
      </c>
      <c r="I149" s="238">
        <f t="shared" si="21"/>
        <v>236604022.29842159</v>
      </c>
    </row>
    <row r="150" spans="2:15" ht="15.75" customHeight="1">
      <c r="B150" s="81" t="s">
        <v>498</v>
      </c>
      <c r="C150" s="239">
        <f t="shared" ref="C150:I150" si="22">+C145-C149</f>
        <v>-3788920.25</v>
      </c>
      <c r="D150" s="239">
        <f t="shared" si="22"/>
        <v>-4428121.0625</v>
      </c>
      <c r="E150" s="239">
        <f t="shared" si="22"/>
        <v>-3670844.6906250119</v>
      </c>
      <c r="F150" s="239">
        <f t="shared" si="22"/>
        <v>-3854386.9251562655</v>
      </c>
      <c r="G150" s="239">
        <f t="shared" si="22"/>
        <v>-4047106.2714140713</v>
      </c>
      <c r="H150" s="239">
        <f t="shared" si="22"/>
        <v>-4249461.5849847794</v>
      </c>
      <c r="I150" s="239">
        <f t="shared" si="22"/>
        <v>-4461934.6642340124</v>
      </c>
      <c r="N150" s="159"/>
      <c r="O150" s="212"/>
    </row>
    <row r="151" spans="2:15" ht="15.75" customHeight="1">
      <c r="B151" s="73"/>
      <c r="C151" s="235"/>
      <c r="D151" s="235"/>
      <c r="E151" s="235"/>
      <c r="F151" s="235"/>
      <c r="G151" s="235"/>
      <c r="H151" s="235"/>
      <c r="I151" s="235"/>
    </row>
    <row r="152" spans="2:15" ht="15.75" customHeight="1">
      <c r="B152" s="130" t="s">
        <v>500</v>
      </c>
      <c r="C152" s="131" t="s">
        <v>153</v>
      </c>
      <c r="D152" s="131" t="s">
        <v>154</v>
      </c>
      <c r="E152" s="131" t="s">
        <v>155</v>
      </c>
      <c r="F152" s="131" t="s">
        <v>156</v>
      </c>
      <c r="G152" s="131" t="s">
        <v>157</v>
      </c>
      <c r="H152" s="131" t="s">
        <v>158</v>
      </c>
      <c r="I152" s="131" t="s">
        <v>159</v>
      </c>
    </row>
    <row r="153" spans="2:15" ht="15.75" customHeight="1">
      <c r="B153" s="78" t="str">
        <f t="shared" ref="B153:B159" si="23">B138</f>
        <v>Faclitiy 1 - Cleaning &amp; Grading</v>
      </c>
      <c r="C153" s="80">
        <f>'6.Cons Profit &amp; Loss'!B8*(1-$M$124)</f>
        <v>43647847.375</v>
      </c>
      <c r="D153" s="80">
        <f>'6.Cons Profit &amp; Loss'!C8*(1-$M$124)</f>
        <v>47970273.75</v>
      </c>
      <c r="E153" s="80">
        <f>'6.Cons Profit &amp; Loss'!D8*(1-$M$124)</f>
        <v>50368787.4375</v>
      </c>
      <c r="F153" s="80">
        <f>'6.Cons Profit &amp; Loss'!E8*(1-$M$124)</f>
        <v>52887226.80937501</v>
      </c>
      <c r="G153" s="80">
        <f>'6.Cons Profit &amp; Loss'!F8*(1-$M$124)</f>
        <v>55531588.14984376</v>
      </c>
      <c r="H153" s="80">
        <f>'6.Cons Profit &amp; Loss'!G8*(1-$M$124)</f>
        <v>58308167.557335958</v>
      </c>
      <c r="I153" s="80">
        <f>'6.Cons Profit &amp; Loss'!H8*(1-$M$124)</f>
        <v>61223575.935202755</v>
      </c>
    </row>
    <row r="154" spans="2:15" ht="15.75" customHeight="1">
      <c r="B154" s="78" t="str">
        <f t="shared" si="23"/>
        <v>Faclitiy 2 - Processing Unit- Dal Mill</v>
      </c>
      <c r="C154" s="80">
        <f>'6.Cons Profit &amp; Loss'!B9*(1-$M$124)</f>
        <v>91806100</v>
      </c>
      <c r="D154" s="80">
        <f>'6.Cons Profit &amp; Loss'!C9*(1-$M$124)</f>
        <v>122239385.625</v>
      </c>
      <c r="E154" s="80">
        <f>'6.Cons Profit &amp; Loss'!D9*(1-$M$124)</f>
        <v>131065889.0625</v>
      </c>
      <c r="F154" s="80">
        <f>'6.Cons Profit &amp; Loss'!E9*(1-$M$124)</f>
        <v>137619183.51562503</v>
      </c>
      <c r="G154" s="80">
        <f>'6.Cons Profit &amp; Loss'!F9*(1-$M$124)</f>
        <v>144500142.69140628</v>
      </c>
      <c r="H154" s="80">
        <f>'6.Cons Profit &amp; Loss'!G9*(1-$M$124)</f>
        <v>151725149.82597658</v>
      </c>
      <c r="I154" s="80">
        <f>'6.Cons Profit &amp; Loss'!H9*(1-$M$124)</f>
        <v>159311407.31727546</v>
      </c>
    </row>
    <row r="155" spans="2:15" ht="15.75" hidden="1" customHeight="1">
      <c r="B155" s="78" t="str">
        <f t="shared" si="23"/>
        <v>Faclitiy 3 - Warehouse</v>
      </c>
      <c r="C155" s="80">
        <f>'6.Cons Profit &amp; Loss'!B10*(1-$M$124)</f>
        <v>0</v>
      </c>
      <c r="D155" s="80">
        <f>'6.Cons Profit &amp; Loss'!C10*(1-$M$124)</f>
        <v>0</v>
      </c>
      <c r="E155" s="80">
        <f>'6.Cons Profit &amp; Loss'!D10*(1-$M$124)</f>
        <v>0</v>
      </c>
      <c r="F155" s="80">
        <f>'6.Cons Profit &amp; Loss'!E10*(1-$M$124)</f>
        <v>0</v>
      </c>
      <c r="G155" s="80">
        <f>'6.Cons Profit &amp; Loss'!F10*(1-$M$124)</f>
        <v>0</v>
      </c>
      <c r="H155" s="80">
        <f>'6.Cons Profit &amp; Loss'!G10*(1-$M$124)</f>
        <v>0</v>
      </c>
      <c r="I155" s="80">
        <f>'6.Cons Profit &amp; Loss'!H10*(1-$M$124)</f>
        <v>0</v>
      </c>
    </row>
    <row r="156" spans="2:15" ht="15.75" hidden="1" customHeight="1">
      <c r="B156" s="78" t="str">
        <f t="shared" si="23"/>
        <v xml:space="preserve">Faclitiy 4 - Custom Hiring </v>
      </c>
      <c r="C156" s="80">
        <f>'6.Cons Profit &amp; Loss'!B11*(1-$M$124)</f>
        <v>0</v>
      </c>
      <c r="D156" s="80">
        <f>'6.Cons Profit &amp; Loss'!C11*(1-$M$124)</f>
        <v>0</v>
      </c>
      <c r="E156" s="80">
        <f>'6.Cons Profit &amp; Loss'!D11*(1-$M$124)</f>
        <v>0</v>
      </c>
      <c r="F156" s="80">
        <f>'6.Cons Profit &amp; Loss'!E11*(1-$M$124)</f>
        <v>0</v>
      </c>
      <c r="G156" s="80">
        <f>'6.Cons Profit &amp; Loss'!F11*(1-$M$124)</f>
        <v>0</v>
      </c>
      <c r="H156" s="80">
        <f>'6.Cons Profit &amp; Loss'!G11*(1-$M$124)</f>
        <v>0</v>
      </c>
      <c r="I156" s="80">
        <f>'6.Cons Profit &amp; Loss'!H11*(1-$M$124)</f>
        <v>0</v>
      </c>
    </row>
    <row r="157" spans="2:15" ht="15.75" hidden="1" customHeight="1">
      <c r="B157" s="78" t="str">
        <f t="shared" si="23"/>
        <v>Faclitiy 5 - Agri Input Centre</v>
      </c>
      <c r="C157" s="80">
        <f>'6.Cons Profit &amp; Loss'!B12*(1-$M$124)</f>
        <v>0</v>
      </c>
      <c r="D157" s="80">
        <f>'6.Cons Profit &amp; Loss'!C12*(1-$M$124)</f>
        <v>0</v>
      </c>
      <c r="E157" s="80">
        <f>'6.Cons Profit &amp; Loss'!D12*(1-$M$124)</f>
        <v>0</v>
      </c>
      <c r="F157" s="80">
        <f>'6.Cons Profit &amp; Loss'!E12*(1-$M$124)</f>
        <v>0</v>
      </c>
      <c r="G157" s="80">
        <f>'6.Cons Profit &amp; Loss'!F12*(1-$M$124)</f>
        <v>0</v>
      </c>
      <c r="H157" s="80">
        <f>'6.Cons Profit &amp; Loss'!G12*(1-$M$124)</f>
        <v>0</v>
      </c>
      <c r="I157" s="80">
        <f>'6.Cons Profit &amp; Loss'!H12*(1-$M$124)</f>
        <v>0</v>
      </c>
    </row>
    <row r="158" spans="2:15" ht="15.75" hidden="1" customHeight="1">
      <c r="B158" s="78" t="str">
        <f t="shared" si="23"/>
        <v>Facility 6 - Processing Unit - Horti Commodity</v>
      </c>
      <c r="C158" s="80">
        <f>'6.Cons Profit &amp; Loss'!B13*(1-$M$124)</f>
        <v>0</v>
      </c>
      <c r="D158" s="80">
        <f>'6.Cons Profit &amp; Loss'!C13*(1-$M$124)</f>
        <v>0</v>
      </c>
      <c r="E158" s="80">
        <f>'6.Cons Profit &amp; Loss'!D13*(1-$M$124)</f>
        <v>0</v>
      </c>
      <c r="F158" s="80">
        <f>'6.Cons Profit &amp; Loss'!E13*(1-$M$124)</f>
        <v>0</v>
      </c>
      <c r="G158" s="80">
        <f>'6.Cons Profit &amp; Loss'!F13*(1-$M$124)</f>
        <v>0</v>
      </c>
      <c r="H158" s="80">
        <f>'6.Cons Profit &amp; Loss'!G13*(1-$M$124)</f>
        <v>0</v>
      </c>
      <c r="I158" s="80">
        <f>'6.Cons Profit &amp; Loss'!H13*(1-$M$124)</f>
        <v>0</v>
      </c>
    </row>
    <row r="159" spans="2:15" ht="15.75" hidden="1" customHeight="1">
      <c r="B159" s="78">
        <f t="shared" si="23"/>
        <v>0</v>
      </c>
      <c r="C159" s="80">
        <f>'6.Cons Profit &amp; Loss'!B14*(1-$M$124)</f>
        <v>0</v>
      </c>
      <c r="D159" s="80">
        <f>'6.Cons Profit &amp; Loss'!C14*(1-$M$124)</f>
        <v>0</v>
      </c>
      <c r="E159" s="80">
        <f>'6.Cons Profit &amp; Loss'!D14*(1-$M$124)</f>
        <v>0</v>
      </c>
      <c r="F159" s="80">
        <f>'6.Cons Profit &amp; Loss'!E14*(1-$M$124)</f>
        <v>0</v>
      </c>
      <c r="G159" s="80">
        <f>'6.Cons Profit &amp; Loss'!F14*(1-$M$124)</f>
        <v>0</v>
      </c>
      <c r="H159" s="80">
        <f>'6.Cons Profit &amp; Loss'!G14*(1-$M$124)</f>
        <v>0</v>
      </c>
      <c r="I159" s="80">
        <f>'6.Cons Profit &amp; Loss'!H14*(1-$M$124)</f>
        <v>0</v>
      </c>
    </row>
    <row r="160" spans="2:15" ht="15.75" customHeight="1">
      <c r="B160" s="78" t="s">
        <v>494</v>
      </c>
      <c r="C160" s="80">
        <f t="shared" ref="C160:I160" si="24">SUM(C153:C159)</f>
        <v>135453947.375</v>
      </c>
      <c r="D160" s="80">
        <f t="shared" si="24"/>
        <v>170209659.375</v>
      </c>
      <c r="E160" s="80">
        <f t="shared" si="24"/>
        <v>181434676.5</v>
      </c>
      <c r="F160" s="80">
        <f t="shared" si="24"/>
        <v>190506410.32500005</v>
      </c>
      <c r="G160" s="80">
        <f t="shared" si="24"/>
        <v>200031730.84125003</v>
      </c>
      <c r="H160" s="80">
        <f t="shared" si="24"/>
        <v>210033317.38331252</v>
      </c>
      <c r="I160" s="80">
        <f t="shared" si="24"/>
        <v>220534983.25247821</v>
      </c>
    </row>
    <row r="161" spans="2:9" ht="15.75" customHeight="1">
      <c r="B161" s="78" t="s">
        <v>495</v>
      </c>
      <c r="C161" s="80"/>
      <c r="D161" s="80"/>
      <c r="E161" s="80"/>
      <c r="F161" s="80"/>
      <c r="G161" s="80"/>
      <c r="H161" s="80"/>
      <c r="I161" s="80"/>
    </row>
    <row r="162" spans="2:9" ht="15.75" customHeight="1">
      <c r="B162" s="78" t="s">
        <v>496</v>
      </c>
      <c r="C162" s="80">
        <f>'6.Cons Profit &amp; Loss'!B36</f>
        <v>2106000</v>
      </c>
      <c r="D162" s="80">
        <f>'6.Cons Profit &amp; Loss'!C36</f>
        <v>2211300</v>
      </c>
      <c r="E162" s="80">
        <f>'6.Cons Profit &amp; Loss'!D36</f>
        <v>2321865</v>
      </c>
      <c r="F162" s="80">
        <f>'6.Cons Profit &amp; Loss'!E36</f>
        <v>2437958.2500000005</v>
      </c>
      <c r="G162" s="80">
        <f>'6.Cons Profit &amp; Loss'!F36</f>
        <v>2559856.1625000006</v>
      </c>
      <c r="H162" s="80">
        <f>'6.Cons Profit &amp; Loss'!G36</f>
        <v>2687848.9706250005</v>
      </c>
      <c r="I162" s="80">
        <f>'6.Cons Profit &amp; Loss'!H36</f>
        <v>2822241.419156251</v>
      </c>
    </row>
    <row r="163" spans="2:9" ht="15.75" customHeight="1">
      <c r="B163" s="78" t="s">
        <v>358</v>
      </c>
      <c r="C163" s="80">
        <f>'6.Cons Profit &amp; Loss'!B25*(1-$M$124)</f>
        <v>130526401.53571427</v>
      </c>
      <c r="D163" s="80">
        <f>'6.Cons Profit &amp; Loss'!C25*(1-$M$124)</f>
        <v>164110132.74702382</v>
      </c>
      <c r="E163" s="80">
        <f>'6.Cons Profit &amp; Loss'!D25*(1-$M$124)</f>
        <v>174015435.43437499</v>
      </c>
      <c r="F163" s="80">
        <f>'6.Cons Profit &amp; Loss'!E25*(1-$M$124)</f>
        <v>182716207.20609382</v>
      </c>
      <c r="G163" s="80">
        <f>'6.Cons Profit &amp; Loss'!F25*(1-$M$124)</f>
        <v>191852017.56639847</v>
      </c>
      <c r="H163" s="80">
        <f>'6.Cons Profit &amp; Loss'!G25*(1-$M$124)</f>
        <v>201444618.44471836</v>
      </c>
      <c r="I163" s="80">
        <f>'6.Cons Profit &amp; Loss'!H25*(1-$M$124)</f>
        <v>211516849.36695436</v>
      </c>
    </row>
    <row r="164" spans="2:9" ht="15.75" customHeight="1">
      <c r="B164" s="78" t="s">
        <v>497</v>
      </c>
      <c r="C164" s="80">
        <f t="shared" ref="C164:I164" si="25">SUM(C162:C163)</f>
        <v>132632401.53571427</v>
      </c>
      <c r="D164" s="80">
        <f t="shared" si="25"/>
        <v>166321432.74702382</v>
      </c>
      <c r="E164" s="80">
        <f t="shared" si="25"/>
        <v>176337300.43437499</v>
      </c>
      <c r="F164" s="80">
        <f t="shared" si="25"/>
        <v>185154165.45609382</v>
      </c>
      <c r="G164" s="80">
        <f t="shared" si="25"/>
        <v>194411873.72889847</v>
      </c>
      <c r="H164" s="80">
        <f t="shared" si="25"/>
        <v>204132467.41534337</v>
      </c>
      <c r="I164" s="80">
        <f t="shared" si="25"/>
        <v>214339090.78611061</v>
      </c>
    </row>
    <row r="165" spans="2:9" ht="15.75" customHeight="1">
      <c r="B165" s="81" t="s">
        <v>498</v>
      </c>
      <c r="C165" s="82">
        <f t="shared" ref="C165:I165" si="26">+C160-C164</f>
        <v>2821545.8392857313</v>
      </c>
      <c r="D165" s="82">
        <f t="shared" si="26"/>
        <v>3888226.6279761791</v>
      </c>
      <c r="E165" s="82">
        <f t="shared" si="26"/>
        <v>5097376.0656250119</v>
      </c>
      <c r="F165" s="82">
        <f t="shared" si="26"/>
        <v>5352244.8689062297</v>
      </c>
      <c r="G165" s="82">
        <f t="shared" si="26"/>
        <v>5619857.1123515666</v>
      </c>
      <c r="H165" s="82">
        <f t="shared" si="26"/>
        <v>5900849.9679691494</v>
      </c>
      <c r="I165" s="82">
        <f t="shared" si="26"/>
        <v>6195892.4663676023</v>
      </c>
    </row>
    <row r="166" spans="2:9" ht="15.75" customHeight="1">
      <c r="B166" s="84"/>
      <c r="C166" s="235"/>
      <c r="D166" s="235"/>
      <c r="E166" s="235"/>
      <c r="F166" s="235"/>
      <c r="G166" s="235"/>
      <c r="H166" s="235"/>
      <c r="I166" s="235"/>
    </row>
    <row r="167" spans="2:9" ht="15.75" customHeight="1">
      <c r="B167" s="130" t="s">
        <v>501</v>
      </c>
      <c r="C167" s="131" t="s">
        <v>153</v>
      </c>
      <c r="D167" s="131" t="s">
        <v>154</v>
      </c>
      <c r="E167" s="131" t="s">
        <v>155</v>
      </c>
      <c r="F167" s="131" t="s">
        <v>156</v>
      </c>
      <c r="G167" s="131" t="s">
        <v>157</v>
      </c>
      <c r="H167" s="131" t="s">
        <v>158</v>
      </c>
      <c r="I167" s="131" t="s">
        <v>159</v>
      </c>
    </row>
    <row r="168" spans="2:9" ht="15.75" customHeight="1">
      <c r="B168" s="78" t="str">
        <f t="shared" ref="B168:B174" si="27">B153</f>
        <v>Faclitiy 1 - Cleaning &amp; Grading</v>
      </c>
      <c r="C168" s="236">
        <f>'6.Cons Profit &amp; Loss'!B8</f>
        <v>45945102.5</v>
      </c>
      <c r="D168" s="236">
        <f>'6.Cons Profit &amp; Loss'!C8</f>
        <v>50495025</v>
      </c>
      <c r="E168" s="236">
        <f>'6.Cons Profit &amp; Loss'!D8</f>
        <v>53019776.25</v>
      </c>
      <c r="F168" s="236">
        <f>'6.Cons Profit &amp; Loss'!E8</f>
        <v>55670765.062500015</v>
      </c>
      <c r="G168" s="236">
        <f>'6.Cons Profit &amp; Loss'!F8</f>
        <v>58454303.315625012</v>
      </c>
      <c r="H168" s="236">
        <f>'6.Cons Profit &amp; Loss'!G8</f>
        <v>61377018.481406271</v>
      </c>
      <c r="I168" s="236">
        <f>'6.Cons Profit &amp; Loss'!H8</f>
        <v>64445869.405476585</v>
      </c>
    </row>
    <row r="169" spans="2:9" ht="15.75" customHeight="1">
      <c r="B169" s="78" t="str">
        <f t="shared" si="27"/>
        <v>Faclitiy 2 - Processing Unit- Dal Mill</v>
      </c>
      <c r="C169" s="236">
        <f>'6.Cons Profit &amp; Loss'!B9</f>
        <v>96638000</v>
      </c>
      <c r="D169" s="236">
        <f>'6.Cons Profit &amp; Loss'!C9</f>
        <v>128673037.5</v>
      </c>
      <c r="E169" s="236">
        <f>'6.Cons Profit &amp; Loss'!D9</f>
        <v>137964093.75</v>
      </c>
      <c r="F169" s="236">
        <f>'6.Cons Profit &amp; Loss'!E9</f>
        <v>144862298.43750003</v>
      </c>
      <c r="G169" s="236">
        <f>'6.Cons Profit &amp; Loss'!F9</f>
        <v>152105413.35937503</v>
      </c>
      <c r="H169" s="236">
        <f>'6.Cons Profit &amp; Loss'!G9</f>
        <v>159710684.02734378</v>
      </c>
      <c r="I169" s="236">
        <f>'6.Cons Profit &amp; Loss'!H9</f>
        <v>167696218.22871101</v>
      </c>
    </row>
    <row r="170" spans="2:9" ht="15.75" customHeight="1">
      <c r="B170" s="78" t="str">
        <f t="shared" si="27"/>
        <v>Faclitiy 3 - Warehouse</v>
      </c>
      <c r="C170" s="236">
        <f>'6.Cons Profit &amp; Loss'!B10</f>
        <v>0</v>
      </c>
      <c r="D170" s="236">
        <f>'6.Cons Profit &amp; Loss'!C10</f>
        <v>0</v>
      </c>
      <c r="E170" s="236">
        <f>'6.Cons Profit &amp; Loss'!D10</f>
        <v>0</v>
      </c>
      <c r="F170" s="236">
        <f>'6.Cons Profit &amp; Loss'!E10</f>
        <v>0</v>
      </c>
      <c r="G170" s="236">
        <f>'6.Cons Profit &amp; Loss'!F10</f>
        <v>0</v>
      </c>
      <c r="H170" s="236">
        <f>'6.Cons Profit &amp; Loss'!G10</f>
        <v>0</v>
      </c>
      <c r="I170" s="236">
        <f>'6.Cons Profit &amp; Loss'!H10</f>
        <v>0</v>
      </c>
    </row>
    <row r="171" spans="2:9" ht="15.75" customHeight="1">
      <c r="B171" s="78" t="str">
        <f t="shared" si="27"/>
        <v xml:space="preserve">Faclitiy 4 - Custom Hiring </v>
      </c>
      <c r="C171" s="236">
        <f>'6.Cons Profit &amp; Loss'!B11</f>
        <v>0</v>
      </c>
      <c r="D171" s="236">
        <f>'6.Cons Profit &amp; Loss'!C11</f>
        <v>0</v>
      </c>
      <c r="E171" s="236">
        <f>'6.Cons Profit &amp; Loss'!D11</f>
        <v>0</v>
      </c>
      <c r="F171" s="236">
        <f>'6.Cons Profit &amp; Loss'!E11</f>
        <v>0</v>
      </c>
      <c r="G171" s="236">
        <f>'6.Cons Profit &amp; Loss'!F11</f>
        <v>0</v>
      </c>
      <c r="H171" s="236">
        <f>'6.Cons Profit &amp; Loss'!G11</f>
        <v>0</v>
      </c>
      <c r="I171" s="236">
        <f>'6.Cons Profit &amp; Loss'!H11</f>
        <v>0</v>
      </c>
    </row>
    <row r="172" spans="2:9" ht="15.75" customHeight="1">
      <c r="B172" s="78" t="str">
        <f t="shared" si="27"/>
        <v>Faclitiy 5 - Agri Input Centre</v>
      </c>
      <c r="C172" s="236">
        <f>'6.Cons Profit &amp; Loss'!B12</f>
        <v>0</v>
      </c>
      <c r="D172" s="236">
        <f>'6.Cons Profit &amp; Loss'!C12</f>
        <v>0</v>
      </c>
      <c r="E172" s="236">
        <f>'6.Cons Profit &amp; Loss'!D12</f>
        <v>0</v>
      </c>
      <c r="F172" s="236">
        <f>'6.Cons Profit &amp; Loss'!E12</f>
        <v>0</v>
      </c>
      <c r="G172" s="236">
        <f>'6.Cons Profit &amp; Loss'!F12</f>
        <v>0</v>
      </c>
      <c r="H172" s="236">
        <f>'6.Cons Profit &amp; Loss'!G12</f>
        <v>0</v>
      </c>
      <c r="I172" s="236">
        <f>'6.Cons Profit &amp; Loss'!H12</f>
        <v>0</v>
      </c>
    </row>
    <row r="173" spans="2:9" ht="15.75" customHeight="1">
      <c r="B173" s="78" t="str">
        <f t="shared" si="27"/>
        <v>Facility 6 - Processing Unit - Horti Commodity</v>
      </c>
      <c r="C173" s="236">
        <f>'6.Cons Profit &amp; Loss'!B13</f>
        <v>0</v>
      </c>
      <c r="D173" s="236">
        <f>'6.Cons Profit &amp; Loss'!C13</f>
        <v>0</v>
      </c>
      <c r="E173" s="236">
        <f>'6.Cons Profit &amp; Loss'!D13</f>
        <v>0</v>
      </c>
      <c r="F173" s="236">
        <f>'6.Cons Profit &amp; Loss'!E13</f>
        <v>0</v>
      </c>
      <c r="G173" s="236">
        <f>'6.Cons Profit &amp; Loss'!F13</f>
        <v>0</v>
      </c>
      <c r="H173" s="236">
        <f>'6.Cons Profit &amp; Loss'!G13</f>
        <v>0</v>
      </c>
      <c r="I173" s="236">
        <f>'6.Cons Profit &amp; Loss'!H13</f>
        <v>0</v>
      </c>
    </row>
    <row r="174" spans="2:9" ht="15.75" customHeight="1">
      <c r="B174" s="78">
        <f t="shared" si="27"/>
        <v>0</v>
      </c>
      <c r="C174" s="236">
        <f>'6.Cons Profit &amp; Loss'!B14</f>
        <v>0</v>
      </c>
      <c r="D174" s="236">
        <f>'6.Cons Profit &amp; Loss'!C14</f>
        <v>0</v>
      </c>
      <c r="E174" s="236">
        <f>'6.Cons Profit &amp; Loss'!D14</f>
        <v>0</v>
      </c>
      <c r="F174" s="236">
        <f>'6.Cons Profit &amp; Loss'!E14</f>
        <v>0</v>
      </c>
      <c r="G174" s="236">
        <f>'6.Cons Profit &amp; Loss'!F14</f>
        <v>0</v>
      </c>
      <c r="H174" s="236">
        <f>'6.Cons Profit &amp; Loss'!G14</f>
        <v>0</v>
      </c>
      <c r="I174" s="236">
        <f>'6.Cons Profit &amp; Loss'!H14</f>
        <v>0</v>
      </c>
    </row>
    <row r="175" spans="2:9" ht="15.75" customHeight="1">
      <c r="B175" s="78" t="s">
        <v>494</v>
      </c>
      <c r="C175" s="236">
        <f t="shared" ref="C175:I175" si="28">SUM(C168:C174)</f>
        <v>142583102.5</v>
      </c>
      <c r="D175" s="236">
        <f t="shared" si="28"/>
        <v>179168062.5</v>
      </c>
      <c r="E175" s="236">
        <f t="shared" si="28"/>
        <v>190983870</v>
      </c>
      <c r="F175" s="236">
        <f t="shared" si="28"/>
        <v>200533063.50000006</v>
      </c>
      <c r="G175" s="236">
        <f t="shared" si="28"/>
        <v>210559716.67500004</v>
      </c>
      <c r="H175" s="236">
        <f t="shared" si="28"/>
        <v>221087702.50875005</v>
      </c>
      <c r="I175" s="236">
        <f t="shared" si="28"/>
        <v>232142087.63418758</v>
      </c>
    </row>
    <row r="176" spans="2:9" ht="15.75" customHeight="1">
      <c r="B176" s="78" t="s">
        <v>495</v>
      </c>
      <c r="C176" s="236"/>
      <c r="D176" s="236"/>
      <c r="E176" s="236"/>
      <c r="F176" s="236"/>
      <c r="G176" s="236"/>
      <c r="H176" s="236"/>
      <c r="I176" s="236"/>
    </row>
    <row r="177" spans="2:13" ht="15.75" customHeight="1">
      <c r="B177" s="78" t="s">
        <v>496</v>
      </c>
      <c r="C177" s="236">
        <f>'6.Cons Profit &amp; Loss'!B36</f>
        <v>2106000</v>
      </c>
      <c r="D177" s="236">
        <f>'6.Cons Profit &amp; Loss'!C36</f>
        <v>2211300</v>
      </c>
      <c r="E177" s="236">
        <f>'6.Cons Profit &amp; Loss'!D36</f>
        <v>2321865</v>
      </c>
      <c r="F177" s="236">
        <f>'6.Cons Profit &amp; Loss'!E36</f>
        <v>2437958.2500000005</v>
      </c>
      <c r="G177" s="236">
        <f>'6.Cons Profit &amp; Loss'!F36</f>
        <v>2559856.1625000006</v>
      </c>
      <c r="H177" s="236">
        <f>'6.Cons Profit &amp; Loss'!G36</f>
        <v>2687848.9706250005</v>
      </c>
      <c r="I177" s="236">
        <f>'6.Cons Profit &amp; Loss'!H36</f>
        <v>2822241.419156251</v>
      </c>
    </row>
    <row r="178" spans="2:13" ht="15.75" customHeight="1">
      <c r="B178" s="78" t="s">
        <v>358</v>
      </c>
      <c r="C178" s="236">
        <f>'6.Cons Profit &amp; Loss'!B25*(1-$M$125)</f>
        <v>130526401.53571427</v>
      </c>
      <c r="D178" s="236">
        <f>'6.Cons Profit &amp; Loss'!C25*(1-$M$125)</f>
        <v>164110132.74702382</v>
      </c>
      <c r="E178" s="236">
        <f>'6.Cons Profit &amp; Loss'!D25*(1-$M$125)</f>
        <v>174015435.43437499</v>
      </c>
      <c r="F178" s="236">
        <f>'6.Cons Profit &amp; Loss'!E25*(1-$M$125)</f>
        <v>182716207.20609382</v>
      </c>
      <c r="G178" s="236">
        <f>'6.Cons Profit &amp; Loss'!F25*(1-$M$125)</f>
        <v>191852017.56639847</v>
      </c>
      <c r="H178" s="236">
        <f>'6.Cons Profit &amp; Loss'!G25*(1-$M$125)</f>
        <v>201444618.44471836</v>
      </c>
      <c r="I178" s="236">
        <f>'6.Cons Profit &amp; Loss'!H25*(1-$M$125)</f>
        <v>211516849.36695436</v>
      </c>
    </row>
    <row r="179" spans="2:13" ht="15.75" customHeight="1">
      <c r="B179" s="78" t="s">
        <v>497</v>
      </c>
      <c r="C179" s="236">
        <f t="shared" ref="C179:I179" si="29">SUM(C177:C178)</f>
        <v>132632401.53571427</v>
      </c>
      <c r="D179" s="236">
        <f t="shared" si="29"/>
        <v>166321432.74702382</v>
      </c>
      <c r="E179" s="236">
        <f t="shared" si="29"/>
        <v>176337300.43437499</v>
      </c>
      <c r="F179" s="236">
        <f t="shared" si="29"/>
        <v>185154165.45609382</v>
      </c>
      <c r="G179" s="236">
        <f t="shared" si="29"/>
        <v>194411873.72889847</v>
      </c>
      <c r="H179" s="236">
        <f t="shared" si="29"/>
        <v>204132467.41534337</v>
      </c>
      <c r="I179" s="236">
        <f t="shared" si="29"/>
        <v>214339090.78611061</v>
      </c>
    </row>
    <row r="180" spans="2:13" ht="15.75" customHeight="1">
      <c r="B180" s="81" t="s">
        <v>498</v>
      </c>
      <c r="C180" s="240">
        <f t="shared" ref="C180:I180" si="30">+C175-C179</f>
        <v>9950700.9642857313</v>
      </c>
      <c r="D180" s="240">
        <f t="shared" si="30"/>
        <v>12846629.752976179</v>
      </c>
      <c r="E180" s="240">
        <f t="shared" si="30"/>
        <v>14646569.565625012</v>
      </c>
      <c r="F180" s="240">
        <f t="shared" si="30"/>
        <v>15378898.043906242</v>
      </c>
      <c r="G180" s="240">
        <f t="shared" si="30"/>
        <v>16147842.946101576</v>
      </c>
      <c r="H180" s="240">
        <f t="shared" si="30"/>
        <v>16955235.093406677</v>
      </c>
      <c r="I180" s="240">
        <f t="shared" si="30"/>
        <v>17802996.848076969</v>
      </c>
    </row>
    <row r="181" spans="2:13" ht="15.75" customHeight="1"/>
    <row r="182" spans="2:13" ht="40.5" customHeight="1">
      <c r="B182" s="426" t="s">
        <v>502</v>
      </c>
      <c r="C182" s="378"/>
      <c r="D182" s="378"/>
      <c r="E182" s="378"/>
      <c r="F182" s="378"/>
      <c r="G182" s="378"/>
      <c r="H182" s="378"/>
      <c r="I182" s="378"/>
      <c r="J182" s="241"/>
      <c r="K182" s="241"/>
      <c r="L182" s="241"/>
      <c r="M182" s="241"/>
    </row>
  </sheetData>
  <mergeCells count="20">
    <mergeCell ref="B100:J100"/>
    <mergeCell ref="B87:J87"/>
    <mergeCell ref="B5:J5"/>
    <mergeCell ref="B26:I26"/>
    <mergeCell ref="B54:I54"/>
    <mergeCell ref="B51:J51"/>
    <mergeCell ref="B24:J24"/>
    <mergeCell ref="D20:J20"/>
    <mergeCell ref="D22:J22"/>
    <mergeCell ref="B72:J72"/>
    <mergeCell ref="B85:I85"/>
    <mergeCell ref="B73:I73"/>
    <mergeCell ref="C79:I79"/>
    <mergeCell ref="C80:I80"/>
    <mergeCell ref="C82:I82"/>
    <mergeCell ref="B182:I182"/>
    <mergeCell ref="K121:R121"/>
    <mergeCell ref="B102:I102"/>
    <mergeCell ref="B121:I121"/>
    <mergeCell ref="B119:J119"/>
  </mergeCells>
  <hyperlinks>
    <hyperlink ref="B24" r:id="rId1"/>
  </hyperlinks>
  <pageMargins left="0.23622047244094491" right="0.23622047244094491" top="0.19685039370078741" bottom="0.27559055118110237" header="0" footer="0"/>
  <pageSetup scale="7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0"/>
  <sheetViews>
    <sheetView topLeftCell="A58" workbookViewId="0">
      <selection activeCell="J72" sqref="J72"/>
    </sheetView>
  </sheetViews>
  <sheetFormatPr defaultColWidth="14.42578125" defaultRowHeight="15" customHeight="1"/>
  <cols>
    <col min="1" max="1" width="49.140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8" ht="18.75">
      <c r="A1" s="394" t="s">
        <v>503</v>
      </c>
      <c r="B1" s="378"/>
      <c r="C1" s="378"/>
      <c r="D1" s="378"/>
      <c r="E1" s="378"/>
      <c r="F1" s="378"/>
      <c r="G1" s="378"/>
      <c r="H1" s="378"/>
    </row>
    <row r="2" spans="1:28">
      <c r="B2" s="159"/>
    </row>
    <row r="3" spans="1:28" ht="18.75">
      <c r="A3" s="440" t="s">
        <v>504</v>
      </c>
      <c r="B3" s="380"/>
    </row>
    <row r="4" spans="1:28">
      <c r="A4" s="242" t="s">
        <v>150</v>
      </c>
      <c r="B4" s="243" t="s">
        <v>161</v>
      </c>
      <c r="C4" s="244"/>
      <c r="D4" s="244"/>
      <c r="E4" s="244"/>
      <c r="F4" s="244"/>
      <c r="G4" s="244"/>
      <c r="H4" s="244"/>
    </row>
    <row r="5" spans="1:28">
      <c r="A5" s="140" t="s">
        <v>505</v>
      </c>
      <c r="B5" s="245">
        <v>495</v>
      </c>
      <c r="C5" s="84"/>
      <c r="D5" s="246"/>
      <c r="E5" s="246"/>
      <c r="F5" s="246"/>
      <c r="G5" s="246"/>
      <c r="H5" s="246"/>
    </row>
    <row r="6" spans="1:28">
      <c r="A6" s="140" t="s">
        <v>506</v>
      </c>
      <c r="B6" s="245"/>
      <c r="C6" s="84"/>
      <c r="D6" s="246"/>
      <c r="E6" s="246"/>
      <c r="F6" s="246"/>
      <c r="G6" s="246"/>
      <c r="H6" s="246"/>
    </row>
    <row r="7" spans="1:28">
      <c r="A7" s="247" t="s">
        <v>87</v>
      </c>
      <c r="B7" s="247">
        <f>B5+B6</f>
        <v>495</v>
      </c>
      <c r="C7" s="164"/>
      <c r="D7" s="248"/>
      <c r="E7" s="248"/>
      <c r="F7" s="248"/>
      <c r="G7" s="248"/>
      <c r="H7" s="248"/>
    </row>
    <row r="8" spans="1:28">
      <c r="A8" s="247" t="s">
        <v>507</v>
      </c>
      <c r="B8" s="249">
        <v>4.5</v>
      </c>
      <c r="C8" s="164"/>
      <c r="D8" s="164"/>
      <c r="E8" s="164"/>
      <c r="F8" s="164"/>
      <c r="G8" s="164"/>
      <c r="H8" s="164"/>
    </row>
    <row r="9" spans="1:28">
      <c r="A9" s="247" t="s">
        <v>508</v>
      </c>
      <c r="B9" s="247">
        <v>1200</v>
      </c>
      <c r="C9" s="248"/>
      <c r="D9" s="248"/>
      <c r="E9" s="248"/>
      <c r="F9" s="248"/>
      <c r="G9" s="248"/>
      <c r="H9" s="248"/>
    </row>
    <row r="11" spans="1:28" ht="18.75">
      <c r="A11" s="394" t="s">
        <v>512</v>
      </c>
      <c r="B11" s="378"/>
      <c r="C11" s="378"/>
      <c r="D11" s="378"/>
      <c r="E11" s="378"/>
      <c r="F11" s="378"/>
      <c r="G11" s="378"/>
      <c r="H11" s="378"/>
      <c r="I11" s="164"/>
      <c r="J11" s="164"/>
      <c r="K11" s="164"/>
      <c r="L11" s="164"/>
      <c r="M11" s="164"/>
      <c r="N11" s="164"/>
      <c r="O11" s="164"/>
      <c r="P11" s="164"/>
    </row>
    <row r="12" spans="1:28">
      <c r="J12" s="159"/>
      <c r="K12" s="250"/>
      <c r="L12" s="250"/>
      <c r="M12" s="250"/>
      <c r="N12" s="250"/>
      <c r="O12" s="159"/>
      <c r="P12" s="159"/>
      <c r="Q12" s="159"/>
      <c r="R12" s="159"/>
      <c r="S12" s="159"/>
      <c r="T12" s="159"/>
      <c r="U12" s="159"/>
      <c r="V12" s="212"/>
      <c r="W12" s="212"/>
      <c r="X12" s="212"/>
    </row>
    <row r="13" spans="1:28" ht="45">
      <c r="A13" s="242" t="s">
        <v>513</v>
      </c>
      <c r="B13" s="242" t="s">
        <v>514</v>
      </c>
      <c r="C13" s="251" t="s">
        <v>515</v>
      </c>
      <c r="D13" s="251" t="s">
        <v>516</v>
      </c>
      <c r="E13" s="251" t="s">
        <v>517</v>
      </c>
      <c r="F13" s="251" t="s">
        <v>518</v>
      </c>
      <c r="G13" s="251" t="s">
        <v>519</v>
      </c>
      <c r="H13" s="251" t="s">
        <v>520</v>
      </c>
      <c r="N13" s="374"/>
      <c r="O13" s="376"/>
      <c r="P13" s="376"/>
      <c r="Q13" s="376"/>
      <c r="R13" s="376"/>
      <c r="S13" s="376"/>
      <c r="T13" s="376"/>
      <c r="U13" s="376"/>
      <c r="V13" s="376"/>
      <c r="W13" s="376"/>
      <c r="X13" s="376"/>
      <c r="Y13" s="374"/>
      <c r="Z13" s="374"/>
      <c r="AA13" s="374"/>
      <c r="AB13" s="374"/>
    </row>
    <row r="14" spans="1:28">
      <c r="A14" s="442" t="s">
        <v>521</v>
      </c>
      <c r="B14" s="245" t="s">
        <v>522</v>
      </c>
      <c r="C14" s="253">
        <v>0</v>
      </c>
      <c r="D14" s="140">
        <f t="shared" ref="D14:D22" si="0">$B$9*C14</f>
        <v>0</v>
      </c>
      <c r="E14" s="254">
        <v>0</v>
      </c>
      <c r="F14" s="140">
        <f t="shared" ref="F14:F22" si="1">D14*E14</f>
        <v>0</v>
      </c>
      <c r="G14" s="255">
        <v>0</v>
      </c>
      <c r="H14" s="140">
        <f t="shared" ref="H14:H22" si="2">(F14-F14*G14)</f>
        <v>0</v>
      </c>
    </row>
    <row r="15" spans="1:28">
      <c r="A15" s="387"/>
      <c r="B15" s="245" t="s">
        <v>523</v>
      </c>
      <c r="C15" s="253">
        <v>1</v>
      </c>
      <c r="D15" s="140">
        <f>$B$9*C15</f>
        <v>1200</v>
      </c>
      <c r="E15" s="254">
        <v>15</v>
      </c>
      <c r="F15" s="140">
        <f>D15*E15</f>
        <v>18000</v>
      </c>
      <c r="G15" s="255">
        <v>0.05</v>
      </c>
      <c r="H15" s="140">
        <f t="shared" si="2"/>
        <v>17100</v>
      </c>
    </row>
    <row r="16" spans="1:28">
      <c r="A16" s="387"/>
      <c r="B16" s="245" t="s">
        <v>524</v>
      </c>
      <c r="C16" s="253">
        <v>0</v>
      </c>
      <c r="D16" s="140">
        <f t="shared" si="0"/>
        <v>0</v>
      </c>
      <c r="E16" s="254">
        <v>0</v>
      </c>
      <c r="F16" s="140">
        <f t="shared" si="1"/>
        <v>0</v>
      </c>
      <c r="G16" s="255">
        <v>0</v>
      </c>
      <c r="H16" s="140">
        <f t="shared" si="2"/>
        <v>0</v>
      </c>
    </row>
    <row r="17" spans="1:8">
      <c r="A17" s="387"/>
      <c r="B17" s="245" t="s">
        <v>525</v>
      </c>
      <c r="C17" s="253">
        <v>0</v>
      </c>
      <c r="D17" s="140">
        <f t="shared" si="0"/>
        <v>0</v>
      </c>
      <c r="E17" s="254">
        <v>0</v>
      </c>
      <c r="F17" s="140">
        <f t="shared" si="1"/>
        <v>0</v>
      </c>
      <c r="G17" s="255">
        <v>0</v>
      </c>
      <c r="H17" s="140">
        <f t="shared" si="2"/>
        <v>0</v>
      </c>
    </row>
    <row r="18" spans="1:8">
      <c r="A18" s="387"/>
      <c r="B18" s="245" t="s">
        <v>526</v>
      </c>
      <c r="C18" s="253">
        <v>0</v>
      </c>
      <c r="D18" s="140">
        <f t="shared" si="0"/>
        <v>0</v>
      </c>
      <c r="E18" s="254">
        <v>0</v>
      </c>
      <c r="F18" s="140">
        <f t="shared" si="1"/>
        <v>0</v>
      </c>
      <c r="G18" s="255">
        <v>0</v>
      </c>
      <c r="H18" s="140">
        <f t="shared" si="2"/>
        <v>0</v>
      </c>
    </row>
    <row r="19" spans="1:8">
      <c r="A19" s="387"/>
      <c r="B19" s="245" t="s">
        <v>527</v>
      </c>
      <c r="C19" s="253">
        <v>0</v>
      </c>
      <c r="D19" s="140">
        <f t="shared" si="0"/>
        <v>0</v>
      </c>
      <c r="E19" s="254">
        <v>0</v>
      </c>
      <c r="F19" s="140">
        <f t="shared" si="1"/>
        <v>0</v>
      </c>
      <c r="G19" s="255">
        <v>0</v>
      </c>
      <c r="H19" s="140">
        <f t="shared" si="2"/>
        <v>0</v>
      </c>
    </row>
    <row r="20" spans="1:8">
      <c r="A20" s="387"/>
      <c r="B20" s="245" t="s">
        <v>528</v>
      </c>
      <c r="C20" s="253">
        <v>0</v>
      </c>
      <c r="D20" s="140">
        <f t="shared" si="0"/>
        <v>0</v>
      </c>
      <c r="E20" s="254">
        <v>0</v>
      </c>
      <c r="F20" s="140">
        <f t="shared" si="1"/>
        <v>0</v>
      </c>
      <c r="G20" s="255">
        <v>0</v>
      </c>
      <c r="H20" s="140">
        <f t="shared" si="2"/>
        <v>0</v>
      </c>
    </row>
    <row r="21" spans="1:8" ht="15.75" customHeight="1">
      <c r="A21" s="387"/>
      <c r="B21" s="245" t="s">
        <v>529</v>
      </c>
      <c r="C21" s="253">
        <v>0</v>
      </c>
      <c r="D21" s="140">
        <f t="shared" si="0"/>
        <v>0</v>
      </c>
      <c r="E21" s="254"/>
      <c r="F21" s="140">
        <f t="shared" si="1"/>
        <v>0</v>
      </c>
      <c r="G21" s="255">
        <v>0</v>
      </c>
      <c r="H21" s="140">
        <f t="shared" si="2"/>
        <v>0</v>
      </c>
    </row>
    <row r="22" spans="1:8" ht="15.75" customHeight="1">
      <c r="A22" s="388"/>
      <c r="B22" s="245" t="s">
        <v>530</v>
      </c>
      <c r="C22" s="253">
        <v>0</v>
      </c>
      <c r="D22" s="140">
        <f t="shared" si="0"/>
        <v>0</v>
      </c>
      <c r="E22" s="254"/>
      <c r="F22" s="140">
        <f t="shared" si="1"/>
        <v>0</v>
      </c>
      <c r="G22" s="255">
        <v>0</v>
      </c>
      <c r="H22" s="140">
        <f t="shared" si="2"/>
        <v>0</v>
      </c>
    </row>
    <row r="23" spans="1:8" ht="15.75" customHeight="1">
      <c r="A23" s="256" t="s">
        <v>531</v>
      </c>
      <c r="B23" s="253">
        <v>0.94</v>
      </c>
      <c r="C23" s="140">
        <f>ROUND(B9*B23,0)</f>
        <v>1128</v>
      </c>
      <c r="D23" s="140"/>
      <c r="E23" s="254"/>
      <c r="F23" s="140"/>
      <c r="G23" s="255"/>
      <c r="H23" s="140"/>
    </row>
    <row r="24" spans="1:8" ht="15.75" customHeight="1">
      <c r="A24" s="442" t="s">
        <v>532</v>
      </c>
      <c r="B24" s="245" t="s">
        <v>533</v>
      </c>
      <c r="C24" s="253">
        <v>0</v>
      </c>
      <c r="D24" s="140">
        <f t="shared" ref="D24:D31" si="3">C$23*C24</f>
        <v>0</v>
      </c>
      <c r="E24" s="254">
        <v>0</v>
      </c>
      <c r="F24" s="140">
        <f t="shared" ref="F24:F31" si="4">D24*E24</f>
        <v>0</v>
      </c>
      <c r="G24" s="255">
        <v>0</v>
      </c>
      <c r="H24" s="140">
        <f t="shared" ref="H24:H31" si="5">(F24-F24*G24)</f>
        <v>0</v>
      </c>
    </row>
    <row r="25" spans="1:8" ht="15.75" customHeight="1">
      <c r="A25" s="387"/>
      <c r="B25" s="245" t="s">
        <v>534</v>
      </c>
      <c r="C25" s="253">
        <v>1</v>
      </c>
      <c r="D25" s="140">
        <f t="shared" si="3"/>
        <v>1128</v>
      </c>
      <c r="E25" s="254">
        <v>10</v>
      </c>
      <c r="F25" s="140">
        <f t="shared" si="4"/>
        <v>11280</v>
      </c>
      <c r="G25" s="255">
        <v>0.05</v>
      </c>
      <c r="H25" s="140">
        <f>(ROUND(F25-F25*G25,0))</f>
        <v>10716</v>
      </c>
    </row>
    <row r="26" spans="1:8" ht="15.75" customHeight="1">
      <c r="A26" s="387"/>
      <c r="B26" s="245" t="s">
        <v>529</v>
      </c>
      <c r="C26" s="253">
        <v>0</v>
      </c>
      <c r="D26" s="140">
        <f t="shared" si="3"/>
        <v>0</v>
      </c>
      <c r="E26" s="254">
        <v>0</v>
      </c>
      <c r="F26" s="140">
        <f t="shared" si="4"/>
        <v>0</v>
      </c>
      <c r="G26" s="255">
        <v>0</v>
      </c>
      <c r="H26" s="140">
        <f t="shared" si="5"/>
        <v>0</v>
      </c>
    </row>
    <row r="27" spans="1:8" ht="15.75" customHeight="1">
      <c r="A27" s="387"/>
      <c r="B27" s="245" t="s">
        <v>526</v>
      </c>
      <c r="C27" s="253">
        <v>0</v>
      </c>
      <c r="D27" s="140">
        <f t="shared" si="3"/>
        <v>0</v>
      </c>
      <c r="E27" s="254">
        <v>0</v>
      </c>
      <c r="F27" s="140">
        <f t="shared" si="4"/>
        <v>0</v>
      </c>
      <c r="G27" s="255">
        <v>0</v>
      </c>
      <c r="H27" s="140">
        <f t="shared" si="5"/>
        <v>0</v>
      </c>
    </row>
    <row r="28" spans="1:8" ht="15.75" customHeight="1">
      <c r="A28" s="387"/>
      <c r="B28" s="245" t="s">
        <v>535</v>
      </c>
      <c r="C28" s="253">
        <v>0</v>
      </c>
      <c r="D28" s="140">
        <f t="shared" si="3"/>
        <v>0</v>
      </c>
      <c r="E28" s="254"/>
      <c r="F28" s="140">
        <f t="shared" si="4"/>
        <v>0</v>
      </c>
      <c r="G28" s="255">
        <v>0</v>
      </c>
      <c r="H28" s="140">
        <f t="shared" si="5"/>
        <v>0</v>
      </c>
    </row>
    <row r="29" spans="1:8" ht="15.75" customHeight="1">
      <c r="A29" s="387"/>
      <c r="B29" s="245"/>
      <c r="C29" s="253">
        <v>0</v>
      </c>
      <c r="D29" s="140">
        <f t="shared" si="3"/>
        <v>0</v>
      </c>
      <c r="E29" s="254"/>
      <c r="F29" s="140">
        <f t="shared" si="4"/>
        <v>0</v>
      </c>
      <c r="G29" s="255">
        <v>0</v>
      </c>
      <c r="H29" s="140">
        <f t="shared" si="5"/>
        <v>0</v>
      </c>
    </row>
    <row r="30" spans="1:8" ht="15.75" customHeight="1">
      <c r="A30" s="387"/>
      <c r="B30" s="245"/>
      <c r="C30" s="253">
        <v>0</v>
      </c>
      <c r="D30" s="140">
        <f t="shared" si="3"/>
        <v>0</v>
      </c>
      <c r="E30" s="254"/>
      <c r="F30" s="140">
        <f t="shared" si="4"/>
        <v>0</v>
      </c>
      <c r="G30" s="255">
        <v>0</v>
      </c>
      <c r="H30" s="140">
        <f t="shared" si="5"/>
        <v>0</v>
      </c>
    </row>
    <row r="31" spans="1:8" ht="15.75" customHeight="1">
      <c r="A31" s="388"/>
      <c r="B31" s="245"/>
      <c r="C31" s="253">
        <v>0</v>
      </c>
      <c r="D31" s="140">
        <f t="shared" si="3"/>
        <v>0</v>
      </c>
      <c r="E31" s="254"/>
      <c r="F31" s="140">
        <f t="shared" si="4"/>
        <v>0</v>
      </c>
      <c r="G31" s="255">
        <v>0</v>
      </c>
      <c r="H31" s="140">
        <f t="shared" si="5"/>
        <v>0</v>
      </c>
    </row>
    <row r="32" spans="1:8" ht="15.75" customHeight="1">
      <c r="A32" s="256" t="s">
        <v>536</v>
      </c>
      <c r="B32" s="253">
        <v>0.05</v>
      </c>
      <c r="C32" s="140">
        <f>B9*B32</f>
        <v>60</v>
      </c>
      <c r="D32" s="140"/>
      <c r="E32" s="254"/>
      <c r="F32" s="140"/>
      <c r="G32" s="255"/>
      <c r="H32" s="140"/>
    </row>
    <row r="33" spans="1:8" ht="15.75" customHeight="1">
      <c r="A33" s="257" t="s">
        <v>537</v>
      </c>
      <c r="B33" s="245" t="s">
        <v>538</v>
      </c>
      <c r="C33" s="253">
        <v>0</v>
      </c>
      <c r="D33" s="140">
        <f t="shared" ref="D33:D36" si="6">C$32*C33</f>
        <v>0</v>
      </c>
      <c r="E33" s="254"/>
      <c r="F33" s="140">
        <f t="shared" ref="F33:F36" si="7">D33*E33</f>
        <v>0</v>
      </c>
      <c r="G33" s="255">
        <v>0</v>
      </c>
      <c r="H33" s="140">
        <f t="shared" ref="H33:H36" si="8">(F33-F33*G33)</f>
        <v>0</v>
      </c>
    </row>
    <row r="34" spans="1:8" ht="15.75" customHeight="1">
      <c r="A34" s="8"/>
      <c r="B34" s="245"/>
      <c r="C34" s="253">
        <v>0</v>
      </c>
      <c r="D34" s="140">
        <f t="shared" si="6"/>
        <v>0</v>
      </c>
      <c r="E34" s="254"/>
      <c r="F34" s="140">
        <f t="shared" si="7"/>
        <v>0</v>
      </c>
      <c r="G34" s="255">
        <v>0</v>
      </c>
      <c r="H34" s="140">
        <f t="shared" si="8"/>
        <v>0</v>
      </c>
    </row>
    <row r="35" spans="1:8" ht="15.75" customHeight="1">
      <c r="A35" s="8"/>
      <c r="B35" s="245"/>
      <c r="C35" s="253">
        <v>0</v>
      </c>
      <c r="D35" s="140">
        <f t="shared" si="6"/>
        <v>0</v>
      </c>
      <c r="E35" s="254"/>
      <c r="F35" s="140">
        <f t="shared" si="7"/>
        <v>0</v>
      </c>
      <c r="G35" s="255">
        <v>0</v>
      </c>
      <c r="H35" s="140">
        <f t="shared" si="8"/>
        <v>0</v>
      </c>
    </row>
    <row r="36" spans="1:8" ht="15.75" customHeight="1">
      <c r="A36" s="258"/>
      <c r="B36" s="245"/>
      <c r="C36" s="253">
        <v>0</v>
      </c>
      <c r="D36" s="140">
        <f t="shared" si="6"/>
        <v>0</v>
      </c>
      <c r="E36" s="254"/>
      <c r="F36" s="140">
        <f t="shared" si="7"/>
        <v>0</v>
      </c>
      <c r="G36" s="255">
        <v>0</v>
      </c>
      <c r="H36" s="140">
        <f t="shared" si="8"/>
        <v>0</v>
      </c>
    </row>
    <row r="37" spans="1:8" ht="15.75" customHeight="1">
      <c r="A37" s="441" t="s">
        <v>539</v>
      </c>
      <c r="B37" s="378"/>
      <c r="C37" s="378"/>
      <c r="D37" s="378"/>
      <c r="E37" s="378"/>
      <c r="F37" s="378"/>
      <c r="G37" s="378"/>
      <c r="H37" s="378"/>
    </row>
    <row r="38" spans="1:8" ht="15.75" customHeight="1"/>
    <row r="39" spans="1:8" ht="15.75" customHeight="1">
      <c r="A39" s="443" t="s">
        <v>540</v>
      </c>
      <c r="B39" s="382"/>
      <c r="C39" s="382"/>
      <c r="D39" s="382"/>
      <c r="E39" s="382"/>
      <c r="F39" s="382"/>
      <c r="G39" s="382"/>
      <c r="H39" s="383"/>
    </row>
    <row r="40" spans="1:8" ht="15.75" customHeight="1">
      <c r="A40" s="436" t="s">
        <v>150</v>
      </c>
      <c r="B40" s="259">
        <v>0.3</v>
      </c>
      <c r="C40" s="259">
        <v>0.3</v>
      </c>
      <c r="D40" s="259">
        <v>0.3</v>
      </c>
      <c r="E40" s="259">
        <v>0.3</v>
      </c>
      <c r="F40" s="259">
        <v>0.3</v>
      </c>
      <c r="G40" s="259">
        <v>0.3</v>
      </c>
      <c r="H40" s="259">
        <v>0.3</v>
      </c>
    </row>
    <row r="41" spans="1:8" ht="15.75" customHeight="1">
      <c r="A41" s="388"/>
      <c r="B41" s="243" t="s">
        <v>712</v>
      </c>
      <c r="C41" s="243" t="s">
        <v>154</v>
      </c>
      <c r="D41" s="243" t="s">
        <v>155</v>
      </c>
      <c r="E41" s="243" t="s">
        <v>156</v>
      </c>
      <c r="F41" s="243" t="s">
        <v>157</v>
      </c>
      <c r="G41" s="243" t="s">
        <v>158</v>
      </c>
      <c r="H41" s="243" t="s">
        <v>159</v>
      </c>
    </row>
    <row r="42" spans="1:8" ht="15.75" customHeight="1">
      <c r="A42" s="140" t="str">
        <f t="shared" ref="A42:A50" si="9">B14</f>
        <v>Soybean</v>
      </c>
      <c r="B42" s="140">
        <f t="shared" ref="B42:B50" si="10">H14*$B$40</f>
        <v>0</v>
      </c>
      <c r="C42" s="140">
        <f t="shared" ref="C42:H43" si="11">(B42/B$40)*C$40</f>
        <v>0</v>
      </c>
      <c r="D42" s="140">
        <f t="shared" si="11"/>
        <v>0</v>
      </c>
      <c r="E42" s="140">
        <f t="shared" si="11"/>
        <v>0</v>
      </c>
      <c r="F42" s="140">
        <f t="shared" si="11"/>
        <v>0</v>
      </c>
      <c r="G42" s="140">
        <f t="shared" si="11"/>
        <v>0</v>
      </c>
      <c r="H42" s="140">
        <f t="shared" si="11"/>
        <v>0</v>
      </c>
    </row>
    <row r="43" spans="1:8" ht="15.75" customHeight="1">
      <c r="A43" s="140" t="str">
        <f t="shared" si="9"/>
        <v>Red Gram/Tur</v>
      </c>
      <c r="B43" s="140">
        <f>ROUND(H15*$B$40,-2)</f>
        <v>5100</v>
      </c>
      <c r="C43" s="140">
        <f>(B43/B$40)*C$40</f>
        <v>5100</v>
      </c>
      <c r="D43" s="140">
        <f t="shared" si="11"/>
        <v>5100</v>
      </c>
      <c r="E43" s="140">
        <f t="shared" si="11"/>
        <v>5100</v>
      </c>
      <c r="F43" s="140">
        <f t="shared" si="11"/>
        <v>5100</v>
      </c>
      <c r="G43" s="140">
        <f t="shared" si="11"/>
        <v>5100</v>
      </c>
      <c r="H43" s="140">
        <f t="shared" si="11"/>
        <v>5100</v>
      </c>
    </row>
    <row r="44" spans="1:8" ht="15.75" customHeight="1">
      <c r="A44" s="140" t="str">
        <f t="shared" si="9"/>
        <v>Paddy/Rice</v>
      </c>
      <c r="B44" s="140">
        <f t="shared" si="10"/>
        <v>0</v>
      </c>
      <c r="C44" s="140">
        <f t="shared" ref="C44:H44" si="12">(B44/B$40)*C$40</f>
        <v>0</v>
      </c>
      <c r="D44" s="140">
        <f t="shared" si="12"/>
        <v>0</v>
      </c>
      <c r="E44" s="140">
        <f t="shared" si="12"/>
        <v>0</v>
      </c>
      <c r="F44" s="140">
        <f t="shared" si="12"/>
        <v>0</v>
      </c>
      <c r="G44" s="140">
        <f t="shared" si="12"/>
        <v>0</v>
      </c>
      <c r="H44" s="140">
        <f t="shared" si="12"/>
        <v>0</v>
      </c>
    </row>
    <row r="45" spans="1:8" ht="15.75" customHeight="1">
      <c r="A45" s="140" t="str">
        <f t="shared" si="9"/>
        <v>Green Gram/ Moong</v>
      </c>
      <c r="B45" s="140">
        <f t="shared" si="10"/>
        <v>0</v>
      </c>
      <c r="C45" s="140">
        <f t="shared" ref="C45:H45" si="13">(B45/B$40)*C$40</f>
        <v>0</v>
      </c>
      <c r="D45" s="140">
        <f t="shared" si="13"/>
        <v>0</v>
      </c>
      <c r="E45" s="140">
        <f t="shared" si="13"/>
        <v>0</v>
      </c>
      <c r="F45" s="140">
        <f t="shared" si="13"/>
        <v>0</v>
      </c>
      <c r="G45" s="140">
        <f t="shared" si="13"/>
        <v>0</v>
      </c>
      <c r="H45" s="140">
        <f t="shared" si="13"/>
        <v>0</v>
      </c>
    </row>
    <row r="46" spans="1:8" ht="15.75" customHeight="1">
      <c r="A46" s="140" t="str">
        <f t="shared" si="9"/>
        <v>Maize</v>
      </c>
      <c r="B46" s="140">
        <f t="shared" si="10"/>
        <v>0</v>
      </c>
      <c r="C46" s="140">
        <f t="shared" ref="C46:H46" si="14">(B46/B$40)*C$40</f>
        <v>0</v>
      </c>
      <c r="D46" s="140">
        <f t="shared" si="14"/>
        <v>0</v>
      </c>
      <c r="E46" s="140">
        <f t="shared" si="14"/>
        <v>0</v>
      </c>
      <c r="F46" s="140">
        <f t="shared" si="14"/>
        <v>0</v>
      </c>
      <c r="G46" s="140">
        <f t="shared" si="14"/>
        <v>0</v>
      </c>
      <c r="H46" s="140">
        <f t="shared" si="14"/>
        <v>0</v>
      </c>
    </row>
    <row r="47" spans="1:8" ht="15.75" customHeight="1">
      <c r="A47" s="140" t="str">
        <f t="shared" si="9"/>
        <v>Black Gram/Udid</v>
      </c>
      <c r="B47" s="140">
        <f t="shared" si="10"/>
        <v>0</v>
      </c>
      <c r="C47" s="140">
        <f t="shared" ref="C47:H47" si="15">(B47/B$40)*C$40</f>
        <v>0</v>
      </c>
      <c r="D47" s="140">
        <f t="shared" si="15"/>
        <v>0</v>
      </c>
      <c r="E47" s="140">
        <f t="shared" si="15"/>
        <v>0</v>
      </c>
      <c r="F47" s="140">
        <f t="shared" si="15"/>
        <v>0</v>
      </c>
      <c r="G47" s="140">
        <f t="shared" si="15"/>
        <v>0</v>
      </c>
      <c r="H47" s="140">
        <f t="shared" si="15"/>
        <v>0</v>
      </c>
    </row>
    <row r="48" spans="1:8" ht="15.75" customHeight="1">
      <c r="A48" s="140" t="str">
        <f t="shared" si="9"/>
        <v>Bajra</v>
      </c>
      <c r="B48" s="140">
        <f t="shared" si="10"/>
        <v>0</v>
      </c>
      <c r="C48" s="140">
        <f t="shared" ref="C48:H48" si="16">(B48/B$40)*C$40</f>
        <v>0</v>
      </c>
      <c r="D48" s="140">
        <f t="shared" si="16"/>
        <v>0</v>
      </c>
      <c r="E48" s="140">
        <f t="shared" si="16"/>
        <v>0</v>
      </c>
      <c r="F48" s="140">
        <f t="shared" si="16"/>
        <v>0</v>
      </c>
      <c r="G48" s="140">
        <f t="shared" si="16"/>
        <v>0</v>
      </c>
      <c r="H48" s="140">
        <f t="shared" si="16"/>
        <v>0</v>
      </c>
    </row>
    <row r="49" spans="1:8" ht="15.75" customHeight="1">
      <c r="A49" s="140" t="str">
        <f t="shared" si="9"/>
        <v>Jawar</v>
      </c>
      <c r="B49" s="140">
        <f t="shared" si="10"/>
        <v>0</v>
      </c>
      <c r="C49" s="140">
        <f t="shared" ref="C49:H49" si="17">(B49/B$40)*C$40</f>
        <v>0</v>
      </c>
      <c r="D49" s="140">
        <f t="shared" si="17"/>
        <v>0</v>
      </c>
      <c r="E49" s="140">
        <f t="shared" si="17"/>
        <v>0</v>
      </c>
      <c r="F49" s="140">
        <f t="shared" si="17"/>
        <v>0</v>
      </c>
      <c r="G49" s="140">
        <f t="shared" si="17"/>
        <v>0</v>
      </c>
      <c r="H49" s="140">
        <f t="shared" si="17"/>
        <v>0</v>
      </c>
    </row>
    <row r="50" spans="1:8" ht="15.75" customHeight="1">
      <c r="A50" s="140" t="str">
        <f t="shared" si="9"/>
        <v>Sunflower</v>
      </c>
      <c r="B50" s="140">
        <f t="shared" si="10"/>
        <v>0</v>
      </c>
      <c r="C50" s="140">
        <f t="shared" ref="C50:H50" si="18">(B50/B$40)*C$40</f>
        <v>0</v>
      </c>
      <c r="D50" s="140">
        <f t="shared" si="18"/>
        <v>0</v>
      </c>
      <c r="E50" s="140">
        <f t="shared" si="18"/>
        <v>0</v>
      </c>
      <c r="F50" s="140">
        <f t="shared" si="18"/>
        <v>0</v>
      </c>
      <c r="G50" s="140">
        <f t="shared" si="18"/>
        <v>0</v>
      </c>
      <c r="H50" s="140">
        <f t="shared" si="18"/>
        <v>0</v>
      </c>
    </row>
    <row r="51" spans="1:8" ht="15.75" customHeight="1">
      <c r="A51" s="140" t="str">
        <f t="shared" ref="A51:A58" si="19">B24</f>
        <v>Wheat</v>
      </c>
      <c r="B51" s="140">
        <f t="shared" ref="B51:B58" si="20">H24*$B$40</f>
        <v>0</v>
      </c>
      <c r="C51" s="140">
        <f t="shared" ref="C51:H52" si="21">(B51/B$40)*C$40</f>
        <v>0</v>
      </c>
      <c r="D51" s="140">
        <f t="shared" si="21"/>
        <v>0</v>
      </c>
      <c r="E51" s="140">
        <f t="shared" si="21"/>
        <v>0</v>
      </c>
      <c r="F51" s="140">
        <f t="shared" si="21"/>
        <v>0</v>
      </c>
      <c r="G51" s="140">
        <f t="shared" si="21"/>
        <v>0</v>
      </c>
      <c r="H51" s="140">
        <f t="shared" si="21"/>
        <v>0</v>
      </c>
    </row>
    <row r="52" spans="1:8" ht="15.75" customHeight="1">
      <c r="A52" s="140" t="str">
        <f t="shared" si="19"/>
        <v>Bengal Gram/Channa</v>
      </c>
      <c r="B52" s="140">
        <f>ROUND(H25*$B$40,-2)</f>
        <v>3200</v>
      </c>
      <c r="C52" s="140">
        <f t="shared" ref="C52" si="22">(B52/B$40)*C$40</f>
        <v>3200.0000000000005</v>
      </c>
      <c r="D52" s="140">
        <f t="shared" si="21"/>
        <v>3200.0000000000005</v>
      </c>
      <c r="E52" s="140">
        <f t="shared" si="21"/>
        <v>3200.0000000000005</v>
      </c>
      <c r="F52" s="140">
        <f t="shared" si="21"/>
        <v>3200.0000000000005</v>
      </c>
      <c r="G52" s="140">
        <f t="shared" si="21"/>
        <v>3200.0000000000005</v>
      </c>
      <c r="H52" s="140">
        <f t="shared" si="21"/>
        <v>3200.0000000000005</v>
      </c>
    </row>
    <row r="53" spans="1:8" ht="15.75" customHeight="1">
      <c r="A53" s="140" t="str">
        <f t="shared" si="19"/>
        <v>Jawar</v>
      </c>
      <c r="B53" s="140">
        <f t="shared" si="20"/>
        <v>0</v>
      </c>
      <c r="C53" s="140">
        <f t="shared" ref="C53:H53" si="23">(B53/B$40)*C$40</f>
        <v>0</v>
      </c>
      <c r="D53" s="140">
        <f t="shared" si="23"/>
        <v>0</v>
      </c>
      <c r="E53" s="140">
        <f t="shared" si="23"/>
        <v>0</v>
      </c>
      <c r="F53" s="140">
        <f t="shared" si="23"/>
        <v>0</v>
      </c>
      <c r="G53" s="140">
        <f t="shared" si="23"/>
        <v>0</v>
      </c>
      <c r="H53" s="140">
        <f t="shared" si="23"/>
        <v>0</v>
      </c>
    </row>
    <row r="54" spans="1:8" ht="15.75" customHeight="1">
      <c r="A54" s="140" t="str">
        <f t="shared" si="19"/>
        <v>Maize</v>
      </c>
      <c r="B54" s="140">
        <f t="shared" si="20"/>
        <v>0</v>
      </c>
      <c r="C54" s="140">
        <f t="shared" ref="C54:H54" si="24">(B54/B$40)*C$40</f>
        <v>0</v>
      </c>
      <c r="D54" s="140">
        <f t="shared" si="24"/>
        <v>0</v>
      </c>
      <c r="E54" s="140">
        <f t="shared" si="24"/>
        <v>0</v>
      </c>
      <c r="F54" s="140">
        <f t="shared" si="24"/>
        <v>0</v>
      </c>
      <c r="G54" s="140">
        <f t="shared" si="24"/>
        <v>0</v>
      </c>
      <c r="H54" s="140">
        <f t="shared" si="24"/>
        <v>0</v>
      </c>
    </row>
    <row r="55" spans="1:8" ht="15.75" customHeight="1">
      <c r="A55" s="140" t="str">
        <f t="shared" si="19"/>
        <v>Safflower</v>
      </c>
      <c r="B55" s="140">
        <f t="shared" si="20"/>
        <v>0</v>
      </c>
      <c r="C55" s="140">
        <f t="shared" ref="C55:H55" si="25">(B55/B$40)*C$40</f>
        <v>0</v>
      </c>
      <c r="D55" s="140">
        <f t="shared" si="25"/>
        <v>0</v>
      </c>
      <c r="E55" s="140">
        <f t="shared" si="25"/>
        <v>0</v>
      </c>
      <c r="F55" s="140">
        <f t="shared" si="25"/>
        <v>0</v>
      </c>
      <c r="G55" s="140">
        <f t="shared" si="25"/>
        <v>0</v>
      </c>
      <c r="H55" s="140">
        <f t="shared" si="25"/>
        <v>0</v>
      </c>
    </row>
    <row r="56" spans="1:8" ht="15.75" customHeight="1">
      <c r="A56" s="140">
        <f t="shared" si="19"/>
        <v>0</v>
      </c>
      <c r="B56" s="140">
        <f t="shared" si="20"/>
        <v>0</v>
      </c>
      <c r="C56" s="140">
        <f t="shared" ref="C56:H56" si="26">(B56/B$40)*C$40</f>
        <v>0</v>
      </c>
      <c r="D56" s="140">
        <f t="shared" si="26"/>
        <v>0</v>
      </c>
      <c r="E56" s="140">
        <f t="shared" si="26"/>
        <v>0</v>
      </c>
      <c r="F56" s="140">
        <f t="shared" si="26"/>
        <v>0</v>
      </c>
      <c r="G56" s="140">
        <f t="shared" si="26"/>
        <v>0</v>
      </c>
      <c r="H56" s="140">
        <f t="shared" si="26"/>
        <v>0</v>
      </c>
    </row>
    <row r="57" spans="1:8" ht="15.75" customHeight="1">
      <c r="A57" s="140">
        <f t="shared" si="19"/>
        <v>0</v>
      </c>
      <c r="B57" s="140">
        <f t="shared" si="20"/>
        <v>0</v>
      </c>
      <c r="C57" s="140">
        <f t="shared" ref="C57:H57" si="27">(B57/B$40)*C$40</f>
        <v>0</v>
      </c>
      <c r="D57" s="140">
        <f t="shared" si="27"/>
        <v>0</v>
      </c>
      <c r="E57" s="140">
        <f t="shared" si="27"/>
        <v>0</v>
      </c>
      <c r="F57" s="140">
        <f t="shared" si="27"/>
        <v>0</v>
      </c>
      <c r="G57" s="140">
        <f t="shared" si="27"/>
        <v>0</v>
      </c>
      <c r="H57" s="140">
        <f t="shared" si="27"/>
        <v>0</v>
      </c>
    </row>
    <row r="58" spans="1:8" ht="15.75" customHeight="1">
      <c r="A58" s="140">
        <f t="shared" si="19"/>
        <v>0</v>
      </c>
      <c r="B58" s="140">
        <f t="shared" si="20"/>
        <v>0</v>
      </c>
      <c r="C58" s="140">
        <f t="shared" ref="C58:H58" si="28">(B58/B$40)*C$40</f>
        <v>0</v>
      </c>
      <c r="D58" s="140">
        <f t="shared" si="28"/>
        <v>0</v>
      </c>
      <c r="E58" s="140">
        <f t="shared" si="28"/>
        <v>0</v>
      </c>
      <c r="F58" s="140">
        <f t="shared" si="28"/>
        <v>0</v>
      </c>
      <c r="G58" s="140">
        <f t="shared" si="28"/>
        <v>0</v>
      </c>
      <c r="H58" s="140">
        <f t="shared" si="28"/>
        <v>0</v>
      </c>
    </row>
    <row r="59" spans="1:8" ht="15.75" customHeight="1">
      <c r="A59" s="140" t="str">
        <f t="shared" ref="A59:A62" si="29">B33</f>
        <v>Groundnut</v>
      </c>
      <c r="B59" s="140">
        <f t="shared" ref="B59:B62" si="30">H33*$B$40</f>
        <v>0</v>
      </c>
      <c r="C59" s="140">
        <f t="shared" ref="C59:H59" si="31">(B59/B$40)*C$40</f>
        <v>0</v>
      </c>
      <c r="D59" s="140">
        <f t="shared" si="31"/>
        <v>0</v>
      </c>
      <c r="E59" s="140">
        <f t="shared" si="31"/>
        <v>0</v>
      </c>
      <c r="F59" s="140">
        <f t="shared" si="31"/>
        <v>0</v>
      </c>
      <c r="G59" s="140">
        <f t="shared" si="31"/>
        <v>0</v>
      </c>
      <c r="H59" s="140">
        <f t="shared" si="31"/>
        <v>0</v>
      </c>
    </row>
    <row r="60" spans="1:8" ht="15.75" customHeight="1">
      <c r="A60" s="140">
        <f t="shared" si="29"/>
        <v>0</v>
      </c>
      <c r="B60" s="140">
        <f t="shared" si="30"/>
        <v>0</v>
      </c>
      <c r="C60" s="140">
        <f t="shared" ref="C60:H60" si="32">(B60/B$40)*C$40</f>
        <v>0</v>
      </c>
      <c r="D60" s="140">
        <f t="shared" si="32"/>
        <v>0</v>
      </c>
      <c r="E60" s="140">
        <f t="shared" si="32"/>
        <v>0</v>
      </c>
      <c r="F60" s="140">
        <f t="shared" si="32"/>
        <v>0</v>
      </c>
      <c r="G60" s="140">
        <f t="shared" si="32"/>
        <v>0</v>
      </c>
      <c r="H60" s="140">
        <f t="shared" si="32"/>
        <v>0</v>
      </c>
    </row>
    <row r="61" spans="1:8" ht="15.75" customHeight="1">
      <c r="A61" s="140">
        <f t="shared" si="29"/>
        <v>0</v>
      </c>
      <c r="B61" s="140">
        <f t="shared" si="30"/>
        <v>0</v>
      </c>
      <c r="C61" s="140">
        <f t="shared" ref="C61:H61" si="33">(B61/B$40)*C$40</f>
        <v>0</v>
      </c>
      <c r="D61" s="140">
        <f t="shared" si="33"/>
        <v>0</v>
      </c>
      <c r="E61" s="140">
        <f t="shared" si="33"/>
        <v>0</v>
      </c>
      <c r="F61" s="140">
        <f t="shared" si="33"/>
        <v>0</v>
      </c>
      <c r="G61" s="140">
        <f t="shared" si="33"/>
        <v>0</v>
      </c>
      <c r="H61" s="140">
        <f t="shared" si="33"/>
        <v>0</v>
      </c>
    </row>
    <row r="62" spans="1:8" ht="15.75" customHeight="1">
      <c r="A62" s="140">
        <f t="shared" si="29"/>
        <v>0</v>
      </c>
      <c r="B62" s="140">
        <f t="shared" si="30"/>
        <v>0</v>
      </c>
      <c r="C62" s="140">
        <f t="shared" ref="C62:H62" si="34">(B62/B$40)*C$40</f>
        <v>0</v>
      </c>
      <c r="D62" s="140">
        <f t="shared" si="34"/>
        <v>0</v>
      </c>
      <c r="E62" s="140">
        <f t="shared" si="34"/>
        <v>0</v>
      </c>
      <c r="F62" s="140">
        <f t="shared" si="34"/>
        <v>0</v>
      </c>
      <c r="G62" s="140">
        <f t="shared" si="34"/>
        <v>0</v>
      </c>
      <c r="H62" s="140">
        <f t="shared" si="34"/>
        <v>0</v>
      </c>
    </row>
    <row r="63" spans="1:8" ht="15.75" customHeight="1"/>
    <row r="64" spans="1:8" ht="15.75" customHeight="1">
      <c r="A64" s="437" t="s">
        <v>541</v>
      </c>
      <c r="B64" s="382"/>
      <c r="C64" s="382"/>
      <c r="D64" s="382"/>
      <c r="E64" s="382"/>
      <c r="F64" s="382"/>
      <c r="G64" s="382"/>
      <c r="H64" s="383"/>
    </row>
    <row r="65" spans="1:26" ht="15.75" customHeight="1">
      <c r="A65" s="291" t="s">
        <v>717</v>
      </c>
      <c r="B65" s="260">
        <v>0.7</v>
      </c>
      <c r="C65" s="260">
        <v>0.8</v>
      </c>
      <c r="D65" s="260">
        <v>0.8</v>
      </c>
      <c r="E65" s="260">
        <v>0.8</v>
      </c>
      <c r="F65" s="260">
        <v>0.8</v>
      </c>
      <c r="G65" s="260">
        <v>0.8</v>
      </c>
      <c r="H65" s="260">
        <v>0.8</v>
      </c>
    </row>
    <row r="66" spans="1:26" s="290" customFormat="1" ht="15.75" customHeight="1">
      <c r="A66" s="292" t="s">
        <v>718</v>
      </c>
      <c r="B66" s="260">
        <v>0.6</v>
      </c>
      <c r="C66" s="260">
        <v>0.7</v>
      </c>
      <c r="D66" s="260">
        <v>0.7</v>
      </c>
      <c r="E66" s="260">
        <v>0.7</v>
      </c>
      <c r="F66" s="260">
        <v>0.7</v>
      </c>
      <c r="G66" s="260">
        <v>0.7</v>
      </c>
      <c r="H66" s="260">
        <v>0.7</v>
      </c>
    </row>
    <row r="67" spans="1:26" ht="15.75" customHeight="1">
      <c r="A67" s="291" t="s">
        <v>150</v>
      </c>
      <c r="B67" s="243" t="s">
        <v>153</v>
      </c>
      <c r="C67" s="243" t="s">
        <v>154</v>
      </c>
      <c r="D67" s="243" t="s">
        <v>155</v>
      </c>
      <c r="E67" s="243" t="s">
        <v>156</v>
      </c>
      <c r="F67" s="243" t="s">
        <v>157</v>
      </c>
      <c r="G67" s="243" t="s">
        <v>158</v>
      </c>
      <c r="H67" s="243" t="s">
        <v>159</v>
      </c>
    </row>
    <row r="68" spans="1:26" ht="15.75" customHeight="1">
      <c r="A68" s="140" t="str">
        <f t="shared" ref="A68:A88" si="35">A42</f>
        <v>Soybean</v>
      </c>
      <c r="B68" s="140">
        <f>H14*$B$65</f>
        <v>0</v>
      </c>
      <c r="C68" s="140">
        <f t="shared" ref="C68:H68" si="36">(B68/B$65)*C$65</f>
        <v>0</v>
      </c>
      <c r="D68" s="140">
        <f t="shared" si="36"/>
        <v>0</v>
      </c>
      <c r="E68" s="140">
        <f t="shared" si="36"/>
        <v>0</v>
      </c>
      <c r="F68" s="140">
        <f t="shared" si="36"/>
        <v>0</v>
      </c>
      <c r="G68" s="140">
        <f t="shared" si="36"/>
        <v>0</v>
      </c>
      <c r="H68" s="140">
        <f t="shared" si="36"/>
        <v>0</v>
      </c>
      <c r="I68" s="84"/>
      <c r="J68" s="84"/>
      <c r="K68" s="84"/>
      <c r="L68" s="84"/>
      <c r="M68" s="84"/>
      <c r="N68" s="84"/>
      <c r="O68" s="84"/>
      <c r="P68" s="84"/>
      <c r="Q68" s="84"/>
      <c r="R68" s="84"/>
      <c r="S68" s="84"/>
      <c r="T68" s="84"/>
      <c r="U68" s="84"/>
      <c r="V68" s="84"/>
      <c r="W68" s="84"/>
      <c r="X68" s="84"/>
      <c r="Y68" s="84"/>
      <c r="Z68" s="84"/>
    </row>
    <row r="69" spans="1:26" ht="15.75" customHeight="1">
      <c r="A69" s="140" t="str">
        <f t="shared" si="35"/>
        <v>Red Gram/Tur</v>
      </c>
      <c r="B69" s="140">
        <f>ROUND($H$15*B65,-3)</f>
        <v>12000</v>
      </c>
      <c r="C69" s="140">
        <f t="shared" ref="C69" si="37">ROUND($H$15*C65,-3)</f>
        <v>14000</v>
      </c>
      <c r="D69" s="140">
        <f>ROUND($H$15*D65,-3)</f>
        <v>14000</v>
      </c>
      <c r="E69" s="140">
        <f>ROUND($H$15*E65,-3)</f>
        <v>14000</v>
      </c>
      <c r="F69" s="140">
        <f>ROUND($H$15*F65,-3)</f>
        <v>14000</v>
      </c>
      <c r="G69" s="140">
        <f t="shared" ref="G69" si="38">(F69/F$65)*G$65</f>
        <v>14000</v>
      </c>
      <c r="H69" s="140">
        <f t="shared" ref="H69" si="39">(G69/G$65)*H$65</f>
        <v>14000</v>
      </c>
      <c r="J69" s="374"/>
      <c r="K69" s="374"/>
      <c r="L69" s="374"/>
    </row>
    <row r="70" spans="1:26" ht="15.75" customHeight="1">
      <c r="A70" s="140" t="str">
        <f t="shared" si="35"/>
        <v>Paddy/Rice</v>
      </c>
      <c r="B70" s="140">
        <f t="shared" ref="B70:B76" si="40">H16*$B$65</f>
        <v>0</v>
      </c>
      <c r="C70" s="140">
        <f t="shared" ref="C70:H70" si="41">(B70/B$65)*C$65</f>
        <v>0</v>
      </c>
      <c r="D70" s="140">
        <f t="shared" si="41"/>
        <v>0</v>
      </c>
      <c r="E70" s="140">
        <f t="shared" si="41"/>
        <v>0</v>
      </c>
      <c r="F70" s="140">
        <f t="shared" si="41"/>
        <v>0</v>
      </c>
      <c r="G70" s="140">
        <f t="shared" si="41"/>
        <v>0</v>
      </c>
      <c r="H70" s="140">
        <f t="shared" si="41"/>
        <v>0</v>
      </c>
      <c r="I70" s="375"/>
      <c r="J70" s="374"/>
      <c r="K70" s="374"/>
      <c r="L70" s="374"/>
    </row>
    <row r="71" spans="1:26" ht="15.75" customHeight="1">
      <c r="A71" s="140" t="str">
        <f t="shared" si="35"/>
        <v>Green Gram/ Moong</v>
      </c>
      <c r="B71" s="140">
        <f t="shared" si="40"/>
        <v>0</v>
      </c>
      <c r="C71" s="140">
        <f t="shared" ref="C71:H71" si="42">(B71/B$65)*C$65</f>
        <v>0</v>
      </c>
      <c r="D71" s="140">
        <f t="shared" si="42"/>
        <v>0</v>
      </c>
      <c r="E71" s="140">
        <f t="shared" si="42"/>
        <v>0</v>
      </c>
      <c r="F71" s="140">
        <f t="shared" si="42"/>
        <v>0</v>
      </c>
      <c r="G71" s="140">
        <f t="shared" si="42"/>
        <v>0</v>
      </c>
      <c r="H71" s="140">
        <f t="shared" si="42"/>
        <v>0</v>
      </c>
      <c r="J71" s="374"/>
      <c r="K71" s="374"/>
      <c r="L71" s="374"/>
    </row>
    <row r="72" spans="1:26" ht="15.75" customHeight="1">
      <c r="A72" s="140" t="str">
        <f t="shared" si="35"/>
        <v>Maize</v>
      </c>
      <c r="B72" s="140">
        <f t="shared" si="40"/>
        <v>0</v>
      </c>
      <c r="C72" s="140">
        <f t="shared" ref="C72:H72" si="43">(B72/B$65)*C$65</f>
        <v>0</v>
      </c>
      <c r="D72" s="140">
        <f t="shared" si="43"/>
        <v>0</v>
      </c>
      <c r="E72" s="140">
        <f t="shared" si="43"/>
        <v>0</v>
      </c>
      <c r="F72" s="140">
        <f t="shared" si="43"/>
        <v>0</v>
      </c>
      <c r="G72" s="140">
        <f t="shared" si="43"/>
        <v>0</v>
      </c>
      <c r="H72" s="140">
        <f t="shared" si="43"/>
        <v>0</v>
      </c>
      <c r="J72" s="374"/>
      <c r="K72" s="374"/>
      <c r="L72" s="374"/>
    </row>
    <row r="73" spans="1:26" ht="15.75" customHeight="1">
      <c r="A73" s="140" t="str">
        <f t="shared" si="35"/>
        <v>Black Gram/Udid</v>
      </c>
      <c r="B73" s="140">
        <f t="shared" si="40"/>
        <v>0</v>
      </c>
      <c r="C73" s="140">
        <f t="shared" ref="C73:H73" si="44">(B73/B$65)*C$65</f>
        <v>0</v>
      </c>
      <c r="D73" s="140">
        <f t="shared" si="44"/>
        <v>0</v>
      </c>
      <c r="E73" s="140">
        <f t="shared" si="44"/>
        <v>0</v>
      </c>
      <c r="F73" s="140">
        <f t="shared" si="44"/>
        <v>0</v>
      </c>
      <c r="G73" s="140">
        <f t="shared" si="44"/>
        <v>0</v>
      </c>
      <c r="H73" s="140">
        <f t="shared" si="44"/>
        <v>0</v>
      </c>
      <c r="J73" s="374"/>
      <c r="K73" s="374"/>
      <c r="L73" s="374"/>
    </row>
    <row r="74" spans="1:26" ht="15.75" customHeight="1">
      <c r="A74" s="140" t="str">
        <f t="shared" si="35"/>
        <v>Bajra</v>
      </c>
      <c r="B74" s="140">
        <f t="shared" si="40"/>
        <v>0</v>
      </c>
      <c r="C74" s="140">
        <f t="shared" ref="C74:H74" si="45">(B74/B$65)*C$65</f>
        <v>0</v>
      </c>
      <c r="D74" s="140">
        <f t="shared" si="45"/>
        <v>0</v>
      </c>
      <c r="E74" s="140">
        <f t="shared" si="45"/>
        <v>0</v>
      </c>
      <c r="F74" s="140">
        <f t="shared" si="45"/>
        <v>0</v>
      </c>
      <c r="G74" s="140">
        <f t="shared" si="45"/>
        <v>0</v>
      </c>
      <c r="H74" s="140">
        <f t="shared" si="45"/>
        <v>0</v>
      </c>
      <c r="J74" s="374"/>
      <c r="K74" s="374"/>
      <c r="L74" s="374"/>
    </row>
    <row r="75" spans="1:26" ht="15.75" customHeight="1">
      <c r="A75" s="140" t="str">
        <f t="shared" si="35"/>
        <v>Jawar</v>
      </c>
      <c r="B75" s="140">
        <f t="shared" si="40"/>
        <v>0</v>
      </c>
      <c r="C75" s="140">
        <f t="shared" ref="C75:H75" si="46">(B75/B$65)*C$65</f>
        <v>0</v>
      </c>
      <c r="D75" s="140">
        <f t="shared" si="46"/>
        <v>0</v>
      </c>
      <c r="E75" s="140">
        <f t="shared" si="46"/>
        <v>0</v>
      </c>
      <c r="F75" s="140">
        <f t="shared" si="46"/>
        <v>0</v>
      </c>
      <c r="G75" s="140">
        <f t="shared" si="46"/>
        <v>0</v>
      </c>
      <c r="H75" s="140">
        <f t="shared" si="46"/>
        <v>0</v>
      </c>
    </row>
    <row r="76" spans="1:26" ht="15.75" customHeight="1">
      <c r="A76" s="140" t="str">
        <f t="shared" si="35"/>
        <v>Sunflower</v>
      </c>
      <c r="B76" s="140">
        <f t="shared" si="40"/>
        <v>0</v>
      </c>
      <c r="C76" s="140">
        <f t="shared" ref="C76:H76" si="47">(B76/B$65)*C$65</f>
        <v>0</v>
      </c>
      <c r="D76" s="140">
        <f t="shared" si="47"/>
        <v>0</v>
      </c>
      <c r="E76" s="140">
        <f t="shared" si="47"/>
        <v>0</v>
      </c>
      <c r="F76" s="140">
        <f t="shared" si="47"/>
        <v>0</v>
      </c>
      <c r="G76" s="140">
        <f t="shared" si="47"/>
        <v>0</v>
      </c>
      <c r="H76" s="140">
        <f t="shared" si="47"/>
        <v>0</v>
      </c>
    </row>
    <row r="77" spans="1:26" ht="15.75" customHeight="1">
      <c r="A77" s="140" t="str">
        <f t="shared" si="35"/>
        <v>Wheat</v>
      </c>
      <c r="B77" s="140">
        <f t="shared" ref="B77:B84" si="48">H24*$B$65</f>
        <v>0</v>
      </c>
      <c r="C77" s="140">
        <f t="shared" ref="C77:H78" si="49">(B77/B$65)*C$65</f>
        <v>0</v>
      </c>
      <c r="D77" s="140">
        <f t="shared" si="49"/>
        <v>0</v>
      </c>
      <c r="E77" s="140">
        <f t="shared" si="49"/>
        <v>0</v>
      </c>
      <c r="F77" s="140">
        <f t="shared" si="49"/>
        <v>0</v>
      </c>
      <c r="G77" s="140">
        <f t="shared" si="49"/>
        <v>0</v>
      </c>
      <c r="H77" s="140">
        <f t="shared" si="49"/>
        <v>0</v>
      </c>
    </row>
    <row r="78" spans="1:26" ht="15.75" customHeight="1">
      <c r="A78" s="140" t="str">
        <f t="shared" si="35"/>
        <v>Bengal Gram/Channa</v>
      </c>
      <c r="B78" s="140">
        <f>ROUND($H$25*B66,-2)</f>
        <v>6400</v>
      </c>
      <c r="C78" s="140">
        <f>ROUND($H$25*C66,-2)</f>
        <v>7500</v>
      </c>
      <c r="D78" s="140">
        <f>ROUND($H$25*D66,-2)</f>
        <v>7500</v>
      </c>
      <c r="E78" s="140">
        <f>ROUND($H$25*E66,-2)</f>
        <v>7500</v>
      </c>
      <c r="F78" s="140">
        <f t="shared" si="49"/>
        <v>7500</v>
      </c>
      <c r="G78" s="140">
        <f t="shared" si="49"/>
        <v>7500</v>
      </c>
      <c r="H78" s="140">
        <f t="shared" si="49"/>
        <v>7500</v>
      </c>
    </row>
    <row r="79" spans="1:26" ht="15.75" customHeight="1">
      <c r="A79" s="140" t="str">
        <f t="shared" si="35"/>
        <v>Jawar</v>
      </c>
      <c r="B79" s="140">
        <f t="shared" si="48"/>
        <v>0</v>
      </c>
      <c r="C79" s="140">
        <f t="shared" ref="C79:H79" si="50">(B79/B$65)*C$65</f>
        <v>0</v>
      </c>
      <c r="D79" s="140">
        <f t="shared" si="50"/>
        <v>0</v>
      </c>
      <c r="E79" s="140">
        <f t="shared" si="50"/>
        <v>0</v>
      </c>
      <c r="F79" s="140">
        <f t="shared" si="50"/>
        <v>0</v>
      </c>
      <c r="G79" s="140">
        <f t="shared" si="50"/>
        <v>0</v>
      </c>
      <c r="H79" s="140">
        <f t="shared" si="50"/>
        <v>0</v>
      </c>
    </row>
    <row r="80" spans="1:26" ht="15.75" customHeight="1">
      <c r="A80" s="140" t="str">
        <f t="shared" si="35"/>
        <v>Maize</v>
      </c>
      <c r="B80" s="140">
        <f t="shared" si="48"/>
        <v>0</v>
      </c>
      <c r="C80" s="140">
        <f t="shared" ref="C80:H80" si="51">(B80/B$65)*C$65</f>
        <v>0</v>
      </c>
      <c r="D80" s="140">
        <f t="shared" si="51"/>
        <v>0</v>
      </c>
      <c r="E80" s="140">
        <f t="shared" si="51"/>
        <v>0</v>
      </c>
      <c r="F80" s="140">
        <f t="shared" si="51"/>
        <v>0</v>
      </c>
      <c r="G80" s="140">
        <f t="shared" si="51"/>
        <v>0</v>
      </c>
      <c r="H80" s="140">
        <f t="shared" si="51"/>
        <v>0</v>
      </c>
    </row>
    <row r="81" spans="1:26" ht="15.75" customHeight="1">
      <c r="A81" s="140" t="str">
        <f t="shared" si="35"/>
        <v>Safflower</v>
      </c>
      <c r="B81" s="140">
        <f t="shared" si="48"/>
        <v>0</v>
      </c>
      <c r="C81" s="140">
        <f t="shared" ref="C81:H81" si="52">(B81/B$65)*C$65</f>
        <v>0</v>
      </c>
      <c r="D81" s="140">
        <f t="shared" si="52"/>
        <v>0</v>
      </c>
      <c r="E81" s="140">
        <f t="shared" si="52"/>
        <v>0</v>
      </c>
      <c r="F81" s="140">
        <f t="shared" si="52"/>
        <v>0</v>
      </c>
      <c r="G81" s="140">
        <f t="shared" si="52"/>
        <v>0</v>
      </c>
      <c r="H81" s="140">
        <f t="shared" si="52"/>
        <v>0</v>
      </c>
    </row>
    <row r="82" spans="1:26" ht="15.75" customHeight="1">
      <c r="A82" s="140">
        <f t="shared" si="35"/>
        <v>0</v>
      </c>
      <c r="B82" s="140">
        <f t="shared" si="48"/>
        <v>0</v>
      </c>
      <c r="C82" s="140">
        <f t="shared" ref="C82:H82" si="53">(B82/B$65)*C$65</f>
        <v>0</v>
      </c>
      <c r="D82" s="140">
        <f t="shared" si="53"/>
        <v>0</v>
      </c>
      <c r="E82" s="140">
        <f t="shared" si="53"/>
        <v>0</v>
      </c>
      <c r="F82" s="140">
        <f t="shared" si="53"/>
        <v>0</v>
      </c>
      <c r="G82" s="140">
        <f t="shared" si="53"/>
        <v>0</v>
      </c>
      <c r="H82" s="140">
        <f t="shared" si="53"/>
        <v>0</v>
      </c>
    </row>
    <row r="83" spans="1:26" ht="15.75" customHeight="1">
      <c r="A83" s="140">
        <f t="shared" si="35"/>
        <v>0</v>
      </c>
      <c r="B83" s="140">
        <f t="shared" si="48"/>
        <v>0</v>
      </c>
      <c r="C83" s="140">
        <f t="shared" ref="C83:H83" si="54">(B83/B$65)*C$65</f>
        <v>0</v>
      </c>
      <c r="D83" s="140">
        <f t="shared" si="54"/>
        <v>0</v>
      </c>
      <c r="E83" s="140">
        <f t="shared" si="54"/>
        <v>0</v>
      </c>
      <c r="F83" s="140">
        <f t="shared" si="54"/>
        <v>0</v>
      </c>
      <c r="G83" s="140">
        <f t="shared" si="54"/>
        <v>0</v>
      </c>
      <c r="H83" s="140">
        <f t="shared" si="54"/>
        <v>0</v>
      </c>
    </row>
    <row r="84" spans="1:26" ht="15.75" customHeight="1">
      <c r="A84" s="140">
        <f t="shared" si="35"/>
        <v>0</v>
      </c>
      <c r="B84" s="140">
        <f t="shared" si="48"/>
        <v>0</v>
      </c>
      <c r="C84" s="140">
        <f t="shared" ref="C84:H84" si="55">(B84/B$65)*C$65</f>
        <v>0</v>
      </c>
      <c r="D84" s="140">
        <f t="shared" si="55"/>
        <v>0</v>
      </c>
      <c r="E84" s="140">
        <f t="shared" si="55"/>
        <v>0</v>
      </c>
      <c r="F84" s="140">
        <f t="shared" si="55"/>
        <v>0</v>
      </c>
      <c r="G84" s="140">
        <f t="shared" si="55"/>
        <v>0</v>
      </c>
      <c r="H84" s="140">
        <f t="shared" si="55"/>
        <v>0</v>
      </c>
    </row>
    <row r="85" spans="1:26" ht="15.75" customHeight="1">
      <c r="A85" s="140" t="str">
        <f t="shared" si="35"/>
        <v>Groundnut</v>
      </c>
      <c r="B85" s="140">
        <f t="shared" ref="B85:B88" si="56">H33*$B$65</f>
        <v>0</v>
      </c>
      <c r="C85" s="140">
        <f t="shared" ref="C85:H85" si="57">(B85/B$65)*C$65</f>
        <v>0</v>
      </c>
      <c r="D85" s="140">
        <f t="shared" si="57"/>
        <v>0</v>
      </c>
      <c r="E85" s="140">
        <f t="shared" si="57"/>
        <v>0</v>
      </c>
      <c r="F85" s="140">
        <f t="shared" si="57"/>
        <v>0</v>
      </c>
      <c r="G85" s="140">
        <f t="shared" si="57"/>
        <v>0</v>
      </c>
      <c r="H85" s="140">
        <f t="shared" si="57"/>
        <v>0</v>
      </c>
    </row>
    <row r="86" spans="1:26" ht="15.75" customHeight="1">
      <c r="A86" s="140">
        <f t="shared" si="35"/>
        <v>0</v>
      </c>
      <c r="B86" s="140">
        <f t="shared" si="56"/>
        <v>0</v>
      </c>
      <c r="C86" s="140">
        <f t="shared" ref="C86:H86" si="58">(B86/B$65)*C$65</f>
        <v>0</v>
      </c>
      <c r="D86" s="140">
        <f t="shared" si="58"/>
        <v>0</v>
      </c>
      <c r="E86" s="140">
        <f t="shared" si="58"/>
        <v>0</v>
      </c>
      <c r="F86" s="140">
        <f t="shared" si="58"/>
        <v>0</v>
      </c>
      <c r="G86" s="140">
        <f t="shared" si="58"/>
        <v>0</v>
      </c>
      <c r="H86" s="140">
        <f t="shared" si="58"/>
        <v>0</v>
      </c>
    </row>
    <row r="87" spans="1:26" ht="15.75" customHeight="1">
      <c r="A87" s="140">
        <f t="shared" si="35"/>
        <v>0</v>
      </c>
      <c r="B87" s="140">
        <f t="shared" si="56"/>
        <v>0</v>
      </c>
      <c r="C87" s="140">
        <f t="shared" ref="C87:H87" si="59">(B87/B$65)*C$65</f>
        <v>0</v>
      </c>
      <c r="D87" s="140">
        <f t="shared" si="59"/>
        <v>0</v>
      </c>
      <c r="E87" s="140">
        <f t="shared" si="59"/>
        <v>0</v>
      </c>
      <c r="F87" s="140">
        <f t="shared" si="59"/>
        <v>0</v>
      </c>
      <c r="G87" s="140">
        <f t="shared" si="59"/>
        <v>0</v>
      </c>
      <c r="H87" s="140">
        <f t="shared" si="59"/>
        <v>0</v>
      </c>
    </row>
    <row r="88" spans="1:26" ht="15.75" customHeight="1">
      <c r="A88" s="140">
        <f t="shared" si="35"/>
        <v>0</v>
      </c>
      <c r="B88" s="140">
        <f t="shared" si="56"/>
        <v>0</v>
      </c>
      <c r="C88" s="140">
        <f t="shared" ref="C88:H88" si="60">(B88/B$65)*C$65</f>
        <v>0</v>
      </c>
      <c r="D88" s="140">
        <f t="shared" si="60"/>
        <v>0</v>
      </c>
      <c r="E88" s="140">
        <f t="shared" si="60"/>
        <v>0</v>
      </c>
      <c r="F88" s="140">
        <f t="shared" si="60"/>
        <v>0</v>
      </c>
      <c r="G88" s="140">
        <f t="shared" si="60"/>
        <v>0</v>
      </c>
      <c r="H88" s="140">
        <f t="shared" si="60"/>
        <v>0</v>
      </c>
    </row>
    <row r="89" spans="1:26" ht="15.75" customHeight="1">
      <c r="B89" s="84"/>
      <c r="C89" s="84"/>
      <c r="D89" s="84"/>
      <c r="E89" s="84"/>
      <c r="F89" s="84"/>
      <c r="G89" s="84"/>
      <c r="H89" s="84"/>
      <c r="I89" s="84"/>
    </row>
    <row r="90" spans="1:26" ht="15.75" customHeight="1">
      <c r="A90" s="439" t="s">
        <v>542</v>
      </c>
      <c r="B90" s="382"/>
      <c r="C90" s="382"/>
      <c r="D90" s="382"/>
      <c r="E90" s="382"/>
      <c r="F90" s="382"/>
      <c r="G90" s="382"/>
      <c r="H90" s="383"/>
    </row>
    <row r="91" spans="1:26" ht="15.75" customHeight="1">
      <c r="A91" s="438" t="s">
        <v>150</v>
      </c>
      <c r="B91" s="261">
        <v>1</v>
      </c>
      <c r="C91" s="262">
        <f t="shared" ref="C91:H91" si="61">B91</f>
        <v>1</v>
      </c>
      <c r="D91" s="262">
        <f t="shared" si="61"/>
        <v>1</v>
      </c>
      <c r="E91" s="262">
        <f t="shared" si="61"/>
        <v>1</v>
      </c>
      <c r="F91" s="262">
        <f t="shared" si="61"/>
        <v>1</v>
      </c>
      <c r="G91" s="262">
        <f t="shared" si="61"/>
        <v>1</v>
      </c>
      <c r="H91" s="262">
        <f t="shared" si="61"/>
        <v>1</v>
      </c>
    </row>
    <row r="92" spans="1:26" ht="15.75" customHeight="1">
      <c r="A92" s="388"/>
      <c r="B92" s="243" t="s">
        <v>153</v>
      </c>
      <c r="C92" s="243" t="s">
        <v>154</v>
      </c>
      <c r="D92" s="243" t="s">
        <v>155</v>
      </c>
      <c r="E92" s="243" t="s">
        <v>156</v>
      </c>
      <c r="F92" s="243" t="s">
        <v>157</v>
      </c>
      <c r="G92" s="243" t="s">
        <v>158</v>
      </c>
      <c r="H92" s="243" t="s">
        <v>159</v>
      </c>
    </row>
    <row r="93" spans="1:26" ht="15.75" customHeight="1">
      <c r="A93" s="140" t="str">
        <f t="shared" ref="A93:A113" si="62">A68</f>
        <v>Soybean</v>
      </c>
      <c r="B93" s="140">
        <f>D14*$B$91</f>
        <v>0</v>
      </c>
      <c r="C93" s="140">
        <f>(B93/B$91)*C$91</f>
        <v>0</v>
      </c>
      <c r="D93" s="140">
        <f t="shared" ref="D93:H93" si="63">(C93/C$91)*D$91</f>
        <v>0</v>
      </c>
      <c r="E93" s="140">
        <f t="shared" si="63"/>
        <v>0</v>
      </c>
      <c r="F93" s="140">
        <f t="shared" si="63"/>
        <v>0</v>
      </c>
      <c r="G93" s="140">
        <f t="shared" si="63"/>
        <v>0</v>
      </c>
      <c r="H93" s="140">
        <f t="shared" si="63"/>
        <v>0</v>
      </c>
      <c r="I93" s="84"/>
      <c r="J93" s="84"/>
      <c r="K93" s="84"/>
      <c r="L93" s="84"/>
      <c r="M93" s="84"/>
      <c r="N93" s="84"/>
      <c r="O93" s="84"/>
      <c r="P93" s="84"/>
      <c r="Q93" s="84"/>
      <c r="R93" s="84"/>
      <c r="S93" s="84"/>
      <c r="T93" s="84"/>
      <c r="U93" s="84"/>
      <c r="V93" s="84"/>
      <c r="W93" s="84"/>
      <c r="X93" s="84"/>
      <c r="Y93" s="84"/>
      <c r="Z93" s="84"/>
    </row>
    <row r="94" spans="1:26" ht="15.75" customHeight="1">
      <c r="A94" s="140" t="str">
        <f t="shared" si="62"/>
        <v>Red Gram/Tur</v>
      </c>
      <c r="B94" s="140">
        <f t="shared" ref="B94:B106" si="64">D15*$B$91</f>
        <v>1200</v>
      </c>
      <c r="C94" s="140">
        <f t="shared" ref="C94:C114" si="65">(B94/B$91)*C$91</f>
        <v>1200</v>
      </c>
      <c r="D94" s="140">
        <f t="shared" ref="D94:H94" si="66">(C94/C91)*D91</f>
        <v>1200</v>
      </c>
      <c r="E94" s="140">
        <f t="shared" si="66"/>
        <v>1200</v>
      </c>
      <c r="F94" s="140">
        <f t="shared" si="66"/>
        <v>1200</v>
      </c>
      <c r="G94" s="140">
        <f t="shared" si="66"/>
        <v>1200</v>
      </c>
      <c r="H94" s="140">
        <f t="shared" si="66"/>
        <v>1200</v>
      </c>
    </row>
    <row r="95" spans="1:26" ht="15.75" customHeight="1">
      <c r="A95" s="140" t="str">
        <f t="shared" si="62"/>
        <v>Paddy/Rice</v>
      </c>
      <c r="B95" s="140">
        <f t="shared" si="64"/>
        <v>0</v>
      </c>
      <c r="C95" s="140">
        <f t="shared" si="65"/>
        <v>0</v>
      </c>
      <c r="D95" s="140">
        <f t="shared" ref="D95:H95" si="67">(C95/C$91)*D$91</f>
        <v>0</v>
      </c>
      <c r="E95" s="140">
        <f t="shared" si="67"/>
        <v>0</v>
      </c>
      <c r="F95" s="140">
        <f t="shared" si="67"/>
        <v>0</v>
      </c>
      <c r="G95" s="140">
        <f t="shared" si="67"/>
        <v>0</v>
      </c>
      <c r="H95" s="140">
        <f t="shared" si="67"/>
        <v>0</v>
      </c>
    </row>
    <row r="96" spans="1:26" ht="15.75" customHeight="1">
      <c r="A96" s="140" t="str">
        <f t="shared" si="62"/>
        <v>Green Gram/ Moong</v>
      </c>
      <c r="B96" s="140">
        <f t="shared" si="64"/>
        <v>0</v>
      </c>
      <c r="C96" s="140">
        <f t="shared" si="65"/>
        <v>0</v>
      </c>
      <c r="D96" s="140">
        <f t="shared" ref="D96:H96" si="68">(C96/C$91)*D$91</f>
        <v>0</v>
      </c>
      <c r="E96" s="140">
        <f t="shared" si="68"/>
        <v>0</v>
      </c>
      <c r="F96" s="140">
        <f t="shared" si="68"/>
        <v>0</v>
      </c>
      <c r="G96" s="140">
        <f t="shared" si="68"/>
        <v>0</v>
      </c>
      <c r="H96" s="140">
        <f t="shared" si="68"/>
        <v>0</v>
      </c>
    </row>
    <row r="97" spans="1:8" ht="15.75" customHeight="1">
      <c r="A97" s="140" t="str">
        <f t="shared" si="62"/>
        <v>Maize</v>
      </c>
      <c r="B97" s="140">
        <f t="shared" si="64"/>
        <v>0</v>
      </c>
      <c r="C97" s="140">
        <f t="shared" si="65"/>
        <v>0</v>
      </c>
      <c r="D97" s="140">
        <f t="shared" ref="D97:H97" si="69">(C97/C$91)*D$91</f>
        <v>0</v>
      </c>
      <c r="E97" s="140">
        <f t="shared" si="69"/>
        <v>0</v>
      </c>
      <c r="F97" s="140">
        <f t="shared" si="69"/>
        <v>0</v>
      </c>
      <c r="G97" s="140">
        <f t="shared" si="69"/>
        <v>0</v>
      </c>
      <c r="H97" s="140">
        <f t="shared" si="69"/>
        <v>0</v>
      </c>
    </row>
    <row r="98" spans="1:8" ht="15.75" customHeight="1">
      <c r="A98" s="140" t="str">
        <f t="shared" si="62"/>
        <v>Black Gram/Udid</v>
      </c>
      <c r="B98" s="140">
        <f t="shared" si="64"/>
        <v>0</v>
      </c>
      <c r="C98" s="140">
        <f t="shared" si="65"/>
        <v>0</v>
      </c>
      <c r="D98" s="140">
        <f t="shared" ref="D98:H98" si="70">(C98/C$91)*D$91</f>
        <v>0</v>
      </c>
      <c r="E98" s="140">
        <f t="shared" si="70"/>
        <v>0</v>
      </c>
      <c r="F98" s="140">
        <f t="shared" si="70"/>
        <v>0</v>
      </c>
      <c r="G98" s="140">
        <f t="shared" si="70"/>
        <v>0</v>
      </c>
      <c r="H98" s="140">
        <f t="shared" si="70"/>
        <v>0</v>
      </c>
    </row>
    <row r="99" spans="1:8" ht="15.75" customHeight="1">
      <c r="A99" s="140" t="str">
        <f t="shared" si="62"/>
        <v>Bajra</v>
      </c>
      <c r="B99" s="140">
        <f t="shared" si="64"/>
        <v>0</v>
      </c>
      <c r="C99" s="140">
        <f t="shared" si="65"/>
        <v>0</v>
      </c>
      <c r="D99" s="140">
        <f t="shared" ref="D99:H99" si="71">(C99/C$91)*D$91</f>
        <v>0</v>
      </c>
      <c r="E99" s="140">
        <f t="shared" si="71"/>
        <v>0</v>
      </c>
      <c r="F99" s="140">
        <f t="shared" si="71"/>
        <v>0</v>
      </c>
      <c r="G99" s="140">
        <f t="shared" si="71"/>
        <v>0</v>
      </c>
      <c r="H99" s="140">
        <f t="shared" si="71"/>
        <v>0</v>
      </c>
    </row>
    <row r="100" spans="1:8" ht="15.75" customHeight="1">
      <c r="A100" s="140" t="str">
        <f t="shared" si="62"/>
        <v>Jawar</v>
      </c>
      <c r="B100" s="140">
        <f t="shared" si="64"/>
        <v>0</v>
      </c>
      <c r="C100" s="140">
        <f t="shared" si="65"/>
        <v>0</v>
      </c>
      <c r="D100" s="140">
        <f t="shared" ref="D100:H100" si="72">(C100/C$91)*D$91</f>
        <v>0</v>
      </c>
      <c r="E100" s="140">
        <f t="shared" si="72"/>
        <v>0</v>
      </c>
      <c r="F100" s="140">
        <f t="shared" si="72"/>
        <v>0</v>
      </c>
      <c r="G100" s="140">
        <f t="shared" si="72"/>
        <v>0</v>
      </c>
      <c r="H100" s="140">
        <f t="shared" si="72"/>
        <v>0</v>
      </c>
    </row>
    <row r="101" spans="1:8" ht="15.75" customHeight="1">
      <c r="A101" s="140" t="str">
        <f t="shared" si="62"/>
        <v>Sunflower</v>
      </c>
      <c r="B101" s="140">
        <f t="shared" si="64"/>
        <v>0</v>
      </c>
      <c r="C101" s="140">
        <f t="shared" si="65"/>
        <v>0</v>
      </c>
      <c r="D101" s="140">
        <f t="shared" ref="D101:H101" si="73">(C101/C$91)*D$91</f>
        <v>0</v>
      </c>
      <c r="E101" s="140">
        <f t="shared" si="73"/>
        <v>0</v>
      </c>
      <c r="F101" s="140">
        <f t="shared" si="73"/>
        <v>0</v>
      </c>
      <c r="G101" s="140">
        <f t="shared" si="73"/>
        <v>0</v>
      </c>
      <c r="H101" s="140">
        <f t="shared" si="73"/>
        <v>0</v>
      </c>
    </row>
    <row r="102" spans="1:8" ht="15.75" customHeight="1">
      <c r="A102" s="140" t="str">
        <f t="shared" si="62"/>
        <v>Wheat</v>
      </c>
      <c r="B102" s="140">
        <f t="shared" si="64"/>
        <v>0</v>
      </c>
      <c r="C102" s="140">
        <f t="shared" si="65"/>
        <v>0</v>
      </c>
      <c r="D102" s="140">
        <f t="shared" ref="D102:H102" si="74">(C102/C$91)*D$91</f>
        <v>0</v>
      </c>
      <c r="E102" s="140">
        <f t="shared" si="74"/>
        <v>0</v>
      </c>
      <c r="F102" s="140">
        <f t="shared" si="74"/>
        <v>0</v>
      </c>
      <c r="G102" s="140">
        <f t="shared" si="74"/>
        <v>0</v>
      </c>
      <c r="H102" s="140">
        <f t="shared" si="74"/>
        <v>0</v>
      </c>
    </row>
    <row r="103" spans="1:8" ht="15.75" customHeight="1">
      <c r="A103" s="140" t="str">
        <f t="shared" si="62"/>
        <v>Bengal Gram/Channa</v>
      </c>
      <c r="B103" s="140">
        <f t="shared" si="64"/>
        <v>0</v>
      </c>
      <c r="C103" s="140">
        <f t="shared" si="65"/>
        <v>0</v>
      </c>
      <c r="D103" s="140">
        <f t="shared" ref="D103:H103" si="75">(C103/C$91)*D$91</f>
        <v>0</v>
      </c>
      <c r="E103" s="140">
        <f t="shared" si="75"/>
        <v>0</v>
      </c>
      <c r="F103" s="140">
        <f t="shared" si="75"/>
        <v>0</v>
      </c>
      <c r="G103" s="140">
        <f t="shared" si="75"/>
        <v>0</v>
      </c>
      <c r="H103" s="140">
        <f t="shared" si="75"/>
        <v>0</v>
      </c>
    </row>
    <row r="104" spans="1:8" ht="15.75" customHeight="1">
      <c r="A104" s="140" t="str">
        <f t="shared" si="62"/>
        <v>Jawar</v>
      </c>
      <c r="B104" s="140">
        <f t="shared" si="64"/>
        <v>1128</v>
      </c>
      <c r="C104" s="140">
        <f t="shared" si="65"/>
        <v>1128</v>
      </c>
      <c r="D104" s="140">
        <f t="shared" ref="D104:H104" si="76">(C104/C$91)*D$91</f>
        <v>1128</v>
      </c>
      <c r="E104" s="140">
        <f t="shared" si="76"/>
        <v>1128</v>
      </c>
      <c r="F104" s="140">
        <f t="shared" si="76"/>
        <v>1128</v>
      </c>
      <c r="G104" s="140">
        <f t="shared" si="76"/>
        <v>1128</v>
      </c>
      <c r="H104" s="140">
        <f t="shared" si="76"/>
        <v>1128</v>
      </c>
    </row>
    <row r="105" spans="1:8" ht="15.75" customHeight="1">
      <c r="A105" s="140" t="str">
        <f t="shared" si="62"/>
        <v>Maize</v>
      </c>
      <c r="B105" s="140">
        <f t="shared" si="64"/>
        <v>0</v>
      </c>
      <c r="C105" s="140">
        <f t="shared" si="65"/>
        <v>0</v>
      </c>
      <c r="D105" s="140">
        <f t="shared" ref="D105:H105" si="77">(C105/C$91)*D$91</f>
        <v>0</v>
      </c>
      <c r="E105" s="140">
        <f t="shared" si="77"/>
        <v>0</v>
      </c>
      <c r="F105" s="140">
        <f t="shared" si="77"/>
        <v>0</v>
      </c>
      <c r="G105" s="140">
        <f t="shared" si="77"/>
        <v>0</v>
      </c>
      <c r="H105" s="140">
        <f t="shared" si="77"/>
        <v>0</v>
      </c>
    </row>
    <row r="106" spans="1:8" ht="15.75" customHeight="1">
      <c r="A106" s="140" t="str">
        <f t="shared" si="62"/>
        <v>Safflower</v>
      </c>
      <c r="B106" s="140">
        <f t="shared" si="64"/>
        <v>0</v>
      </c>
      <c r="C106" s="140">
        <f t="shared" si="65"/>
        <v>0</v>
      </c>
      <c r="D106" s="140">
        <f t="shared" ref="D106:H106" si="78">(C106/C$91)*D$91</f>
        <v>0</v>
      </c>
      <c r="E106" s="140">
        <f t="shared" si="78"/>
        <v>0</v>
      </c>
      <c r="F106" s="140">
        <f t="shared" si="78"/>
        <v>0</v>
      </c>
      <c r="G106" s="140">
        <f t="shared" si="78"/>
        <v>0</v>
      </c>
      <c r="H106" s="140">
        <f t="shared" si="78"/>
        <v>0</v>
      </c>
    </row>
    <row r="107" spans="1:8" ht="15.75" customHeight="1">
      <c r="A107" s="140">
        <f t="shared" si="62"/>
        <v>0</v>
      </c>
      <c r="B107" s="140">
        <f t="shared" ref="B107:B109" si="79">D29*$B$91</f>
        <v>0</v>
      </c>
      <c r="C107" s="140">
        <f t="shared" si="65"/>
        <v>0</v>
      </c>
      <c r="D107" s="140">
        <f t="shared" ref="D107:H107" si="80">(C107/C$91)*D$91</f>
        <v>0</v>
      </c>
      <c r="E107" s="140">
        <f t="shared" si="80"/>
        <v>0</v>
      </c>
      <c r="F107" s="140">
        <f t="shared" si="80"/>
        <v>0</v>
      </c>
      <c r="G107" s="140">
        <f t="shared" si="80"/>
        <v>0</v>
      </c>
      <c r="H107" s="140">
        <f t="shared" si="80"/>
        <v>0</v>
      </c>
    </row>
    <row r="108" spans="1:8" ht="15.75" customHeight="1">
      <c r="A108" s="140">
        <f t="shared" si="62"/>
        <v>0</v>
      </c>
      <c r="B108" s="140">
        <f t="shared" si="79"/>
        <v>0</v>
      </c>
      <c r="C108" s="140">
        <f t="shared" si="65"/>
        <v>0</v>
      </c>
      <c r="D108" s="140">
        <f t="shared" ref="D108:H108" si="81">(C108/C$91)*D$91</f>
        <v>0</v>
      </c>
      <c r="E108" s="140">
        <f t="shared" si="81"/>
        <v>0</v>
      </c>
      <c r="F108" s="140">
        <f t="shared" si="81"/>
        <v>0</v>
      </c>
      <c r="G108" s="140">
        <f t="shared" si="81"/>
        <v>0</v>
      </c>
      <c r="H108" s="140">
        <f t="shared" si="81"/>
        <v>0</v>
      </c>
    </row>
    <row r="109" spans="1:8" ht="15.75" customHeight="1">
      <c r="A109" s="140">
        <f t="shared" si="62"/>
        <v>0</v>
      </c>
      <c r="B109" s="140">
        <f t="shared" si="79"/>
        <v>0</v>
      </c>
      <c r="C109" s="140">
        <f t="shared" si="65"/>
        <v>0</v>
      </c>
      <c r="D109" s="140">
        <f t="shared" ref="D109:H109" si="82">(C109/C$91)*D$91</f>
        <v>0</v>
      </c>
      <c r="E109" s="140">
        <f t="shared" si="82"/>
        <v>0</v>
      </c>
      <c r="F109" s="140">
        <f t="shared" si="82"/>
        <v>0</v>
      </c>
      <c r="G109" s="140">
        <f t="shared" si="82"/>
        <v>0</v>
      </c>
      <c r="H109" s="140">
        <f t="shared" si="82"/>
        <v>0</v>
      </c>
    </row>
    <row r="110" spans="1:8" ht="15.75" customHeight="1">
      <c r="A110" s="140" t="str">
        <f t="shared" si="62"/>
        <v>Groundnut</v>
      </c>
      <c r="B110" s="140">
        <f t="shared" ref="B110:B111" si="83">D33*$B$91</f>
        <v>0</v>
      </c>
      <c r="C110" s="140">
        <f t="shared" si="65"/>
        <v>0</v>
      </c>
      <c r="D110" s="140">
        <f t="shared" ref="D110:H110" si="84">(C110/C$91)*D$91</f>
        <v>0</v>
      </c>
      <c r="E110" s="140">
        <f t="shared" si="84"/>
        <v>0</v>
      </c>
      <c r="F110" s="140">
        <f t="shared" si="84"/>
        <v>0</v>
      </c>
      <c r="G110" s="140">
        <f t="shared" si="84"/>
        <v>0</v>
      </c>
      <c r="H110" s="140">
        <f t="shared" si="84"/>
        <v>0</v>
      </c>
    </row>
    <row r="111" spans="1:8" ht="15.75" customHeight="1">
      <c r="A111" s="140">
        <f t="shared" si="62"/>
        <v>0</v>
      </c>
      <c r="B111" s="140">
        <f t="shared" si="83"/>
        <v>0</v>
      </c>
      <c r="C111" s="140">
        <f t="shared" si="65"/>
        <v>0</v>
      </c>
      <c r="D111" s="140">
        <f t="shared" ref="D111:H111" si="85">(C111/C$91)*D$91</f>
        <v>0</v>
      </c>
      <c r="E111" s="140">
        <f t="shared" si="85"/>
        <v>0</v>
      </c>
      <c r="F111" s="140">
        <f t="shared" si="85"/>
        <v>0</v>
      </c>
      <c r="G111" s="140">
        <f t="shared" si="85"/>
        <v>0</v>
      </c>
      <c r="H111" s="140">
        <f t="shared" si="85"/>
        <v>0</v>
      </c>
    </row>
    <row r="112" spans="1:8" ht="15.75" customHeight="1">
      <c r="A112" s="140">
        <f t="shared" si="62"/>
        <v>0</v>
      </c>
      <c r="B112" s="140">
        <f>D34*$B$91</f>
        <v>0</v>
      </c>
      <c r="C112" s="140">
        <f t="shared" si="65"/>
        <v>0</v>
      </c>
      <c r="D112" s="140">
        <f t="shared" ref="D112:H112" si="86">(C112/C$91)*D$91</f>
        <v>0</v>
      </c>
      <c r="E112" s="140">
        <f t="shared" si="86"/>
        <v>0</v>
      </c>
      <c r="F112" s="140">
        <f t="shared" si="86"/>
        <v>0</v>
      </c>
      <c r="G112" s="140">
        <f t="shared" si="86"/>
        <v>0</v>
      </c>
      <c r="H112" s="140">
        <f t="shared" si="86"/>
        <v>0</v>
      </c>
    </row>
    <row r="113" spans="1:9" ht="15.75" customHeight="1">
      <c r="A113" s="140">
        <f t="shared" si="62"/>
        <v>0</v>
      </c>
      <c r="B113" s="140">
        <f t="shared" ref="B113:B114" si="87">D36*$B$91</f>
        <v>0</v>
      </c>
      <c r="C113" s="140">
        <f t="shared" si="65"/>
        <v>0</v>
      </c>
      <c r="D113" s="140">
        <f t="shared" ref="D113:H113" si="88">(C113/C$91)*D$91</f>
        <v>0</v>
      </c>
      <c r="E113" s="140">
        <f t="shared" si="88"/>
        <v>0</v>
      </c>
      <c r="F113" s="140">
        <f t="shared" si="88"/>
        <v>0</v>
      </c>
      <c r="G113" s="140">
        <f t="shared" si="88"/>
        <v>0</v>
      </c>
      <c r="H113" s="140">
        <f t="shared" si="88"/>
        <v>0</v>
      </c>
    </row>
    <row r="114" spans="1:9" ht="15.75" customHeight="1">
      <c r="A114" s="140"/>
      <c r="B114" s="140">
        <f t="shared" si="87"/>
        <v>0</v>
      </c>
      <c r="C114" s="140">
        <f t="shared" si="65"/>
        <v>0</v>
      </c>
      <c r="D114" s="140">
        <f t="shared" ref="D114:H114" si="89">(C114/C$91)*D$91</f>
        <v>0</v>
      </c>
      <c r="E114" s="140">
        <f t="shared" si="89"/>
        <v>0</v>
      </c>
      <c r="F114" s="140">
        <f t="shared" si="89"/>
        <v>0</v>
      </c>
      <c r="G114" s="140">
        <f t="shared" si="89"/>
        <v>0</v>
      </c>
      <c r="H114" s="140">
        <f t="shared" si="89"/>
        <v>0</v>
      </c>
    </row>
    <row r="115" spans="1:9" ht="15.75" customHeight="1"/>
    <row r="116" spans="1:9" ht="15.75" customHeight="1">
      <c r="C116" s="159"/>
      <c r="D116" s="212"/>
      <c r="E116" s="212"/>
      <c r="F116" s="212"/>
      <c r="G116" s="212"/>
      <c r="H116" s="212"/>
      <c r="I116" s="212"/>
    </row>
    <row r="117" spans="1:9" ht="15.75" customHeight="1">
      <c r="A117" t="s">
        <v>543</v>
      </c>
      <c r="C117" s="48"/>
      <c r="D117" s="48"/>
      <c r="E117" s="48"/>
      <c r="F117" s="48"/>
      <c r="G117" s="48"/>
      <c r="H117" s="48"/>
      <c r="I117" s="48"/>
    </row>
    <row r="118" spans="1:9" ht="15.75" customHeight="1">
      <c r="A118">
        <v>1</v>
      </c>
      <c r="B118" t="s">
        <v>713</v>
      </c>
    </row>
    <row r="119" spans="1:9" ht="15.75" customHeight="1">
      <c r="A119">
        <v>2</v>
      </c>
      <c r="B119" t="s">
        <v>714</v>
      </c>
    </row>
    <row r="120" spans="1:9" ht="15.75" customHeight="1">
      <c r="A120">
        <v>3</v>
      </c>
      <c r="B120" t="s">
        <v>715</v>
      </c>
    </row>
  </sheetData>
  <mergeCells count="11">
    <mergeCell ref="A40:A41"/>
    <mergeCell ref="A64:H64"/>
    <mergeCell ref="A91:A92"/>
    <mergeCell ref="A90:H90"/>
    <mergeCell ref="A1:H1"/>
    <mergeCell ref="A3:B3"/>
    <mergeCell ref="A11:H11"/>
    <mergeCell ref="A37:H37"/>
    <mergeCell ref="A14:A22"/>
    <mergeCell ref="A39:H39"/>
    <mergeCell ref="A24:A31"/>
  </mergeCells>
  <pageMargins left="0.7" right="0.7" top="0.75" bottom="0.75" header="0" footer="0"/>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sqref="A1:H1"/>
    </sheetView>
  </sheetViews>
  <sheetFormatPr defaultColWidth="14.42578125" defaultRowHeight="15" customHeight="1"/>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394" t="s">
        <v>545</v>
      </c>
      <c r="B1" s="378"/>
      <c r="C1" s="378"/>
      <c r="D1" s="378"/>
      <c r="E1" s="378"/>
      <c r="F1" s="378"/>
      <c r="G1" s="378"/>
      <c r="H1" s="378"/>
    </row>
    <row r="2" spans="1:26">
      <c r="B2" s="159"/>
    </row>
    <row r="3" spans="1:26" ht="18.75">
      <c r="A3" s="440" t="s">
        <v>546</v>
      </c>
      <c r="B3" s="380"/>
    </row>
    <row r="4" spans="1:26">
      <c r="A4" s="242" t="s">
        <v>150</v>
      </c>
      <c r="B4" s="243" t="s">
        <v>161</v>
      </c>
      <c r="C4" s="244"/>
      <c r="D4" s="244"/>
      <c r="E4" s="244"/>
      <c r="F4" s="244"/>
      <c r="G4" s="244"/>
      <c r="H4" s="244"/>
    </row>
    <row r="5" spans="1:26">
      <c r="A5" s="140" t="s">
        <v>547</v>
      </c>
      <c r="B5" s="245"/>
      <c r="C5" s="84"/>
      <c r="D5" s="246"/>
      <c r="E5" s="246"/>
      <c r="F5" s="246"/>
      <c r="G5" s="246"/>
      <c r="H5" s="246"/>
    </row>
    <row r="6" spans="1:26">
      <c r="A6" s="140" t="s">
        <v>548</v>
      </c>
      <c r="B6" s="245"/>
      <c r="C6" s="84"/>
      <c r="D6" s="246"/>
      <c r="E6" s="246"/>
      <c r="F6" s="246"/>
      <c r="G6" s="246"/>
      <c r="H6" s="246"/>
    </row>
    <row r="7" spans="1:26">
      <c r="A7" s="247" t="s">
        <v>87</v>
      </c>
      <c r="B7" s="247">
        <f>B5+B6</f>
        <v>0</v>
      </c>
      <c r="C7" s="164"/>
      <c r="D7" s="248"/>
      <c r="E7" s="248"/>
      <c r="F7" s="248"/>
      <c r="G7" s="248"/>
      <c r="H7" s="248"/>
    </row>
    <row r="8" spans="1:26">
      <c r="A8" s="247" t="s">
        <v>549</v>
      </c>
      <c r="B8" s="249">
        <v>1</v>
      </c>
      <c r="C8" s="164"/>
      <c r="D8" s="164"/>
      <c r="E8" s="164"/>
      <c r="F8" s="164"/>
      <c r="G8" s="164"/>
      <c r="H8" s="164"/>
    </row>
    <row r="9" spans="1:26">
      <c r="A9" s="247" t="s">
        <v>550</v>
      </c>
      <c r="B9" s="247">
        <f>B7*B8</f>
        <v>0</v>
      </c>
      <c r="C9" s="248"/>
      <c r="D9" s="248"/>
      <c r="E9" s="248"/>
      <c r="F9" s="248"/>
      <c r="G9" s="248"/>
      <c r="H9" s="248"/>
    </row>
    <row r="10" spans="1:26">
      <c r="J10" t="s">
        <v>509</v>
      </c>
      <c r="O10" t="s">
        <v>323</v>
      </c>
      <c r="U10" t="s">
        <v>16</v>
      </c>
      <c r="Y10" t="s">
        <v>510</v>
      </c>
      <c r="Z10" t="s">
        <v>511</v>
      </c>
    </row>
    <row r="11" spans="1:26" ht="18.75">
      <c r="A11" s="394" t="s">
        <v>551</v>
      </c>
      <c r="B11" s="378"/>
      <c r="C11" s="378"/>
      <c r="D11" s="378"/>
      <c r="E11" s="378"/>
      <c r="F11" s="378"/>
      <c r="G11" s="378"/>
      <c r="H11" s="378"/>
      <c r="I11" s="164"/>
      <c r="J11" s="164"/>
      <c r="K11" s="164"/>
      <c r="L11" s="164"/>
      <c r="M11" s="164"/>
      <c r="N11" s="164"/>
      <c r="O11" s="164"/>
      <c r="P11" s="164"/>
    </row>
    <row r="12" spans="1:26">
      <c r="J12" s="159">
        <v>0.65</v>
      </c>
      <c r="K12" s="250">
        <f t="shared" ref="K12:N12" si="0">J12+0.05</f>
        <v>0.70000000000000007</v>
      </c>
      <c r="L12" s="250">
        <f t="shared" si="0"/>
        <v>0.75000000000000011</v>
      </c>
      <c r="M12" s="250">
        <f t="shared" si="0"/>
        <v>0.80000000000000016</v>
      </c>
      <c r="N12" s="250">
        <f t="shared" si="0"/>
        <v>0.8500000000000002</v>
      </c>
      <c r="O12" s="159">
        <v>0.4</v>
      </c>
      <c r="P12" s="159">
        <f t="shared" ref="P12:T12" si="1">O12+0.05</f>
        <v>0.45</v>
      </c>
      <c r="Q12" s="159">
        <f t="shared" si="1"/>
        <v>0.5</v>
      </c>
      <c r="R12" s="159">
        <f t="shared" si="1"/>
        <v>0.55000000000000004</v>
      </c>
      <c r="S12" s="159">
        <f t="shared" si="1"/>
        <v>0.60000000000000009</v>
      </c>
      <c r="T12" s="159">
        <f t="shared" si="1"/>
        <v>0.65000000000000013</v>
      </c>
      <c r="U12" s="159">
        <v>0.1</v>
      </c>
      <c r="V12" s="212">
        <f t="shared" ref="V12:X12" si="2">U12+0.05</f>
        <v>0.15000000000000002</v>
      </c>
      <c r="W12" s="212">
        <f t="shared" si="2"/>
        <v>0.2</v>
      </c>
      <c r="X12" s="212">
        <f t="shared" si="2"/>
        <v>0.25</v>
      </c>
    </row>
    <row r="13" spans="1:26" ht="45">
      <c r="A13" s="242" t="s">
        <v>513</v>
      </c>
      <c r="B13" s="242" t="s">
        <v>514</v>
      </c>
      <c r="C13" s="251" t="s">
        <v>515</v>
      </c>
      <c r="D13" s="251" t="s">
        <v>516</v>
      </c>
      <c r="E13" s="251" t="s">
        <v>517</v>
      </c>
      <c r="F13" s="251" t="s">
        <v>518</v>
      </c>
      <c r="G13" s="251" t="s">
        <v>519</v>
      </c>
      <c r="H13" s="251" t="s">
        <v>520</v>
      </c>
      <c r="O13" s="252" t="s">
        <v>153</v>
      </c>
      <c r="P13" s="252" t="s">
        <v>154</v>
      </c>
      <c r="Q13" s="252" t="s">
        <v>155</v>
      </c>
      <c r="R13" s="252" t="s">
        <v>156</v>
      </c>
      <c r="S13" s="252" t="s">
        <v>157</v>
      </c>
      <c r="T13" s="252" t="s">
        <v>153</v>
      </c>
      <c r="U13" s="252" t="s">
        <v>154</v>
      </c>
      <c r="V13" s="252" t="s">
        <v>155</v>
      </c>
      <c r="W13" s="252" t="s">
        <v>156</v>
      </c>
      <c r="X13" s="252" t="s">
        <v>157</v>
      </c>
    </row>
    <row r="14" spans="1:26">
      <c r="A14" s="442" t="s">
        <v>521</v>
      </c>
      <c r="B14" s="245" t="s">
        <v>552</v>
      </c>
      <c r="C14" s="253">
        <v>0</v>
      </c>
      <c r="D14" s="140">
        <f t="shared" ref="D14:D22" si="3">$B$9*C14</f>
        <v>0</v>
      </c>
      <c r="E14" s="254">
        <v>15</v>
      </c>
      <c r="F14" s="140">
        <f t="shared" ref="F14:F22" si="4">D14*E14</f>
        <v>0</v>
      </c>
      <c r="G14" s="255">
        <v>0.1</v>
      </c>
      <c r="H14" s="140">
        <f t="shared" ref="H14:H22" si="5">(F14-F14*G14)</f>
        <v>0</v>
      </c>
      <c r="J14">
        <f t="shared" ref="J14:N14" si="6">$D$14*J12</f>
        <v>0</v>
      </c>
      <c r="K14">
        <f t="shared" si="6"/>
        <v>0</v>
      </c>
      <c r="L14">
        <f t="shared" si="6"/>
        <v>0</v>
      </c>
      <c r="M14">
        <f t="shared" si="6"/>
        <v>0</v>
      </c>
      <c r="N14">
        <f t="shared" si="6"/>
        <v>0</v>
      </c>
    </row>
    <row r="15" spans="1:26">
      <c r="A15" s="387"/>
      <c r="B15" s="245" t="s">
        <v>553</v>
      </c>
      <c r="C15" s="253">
        <v>0</v>
      </c>
      <c r="D15" s="140">
        <f t="shared" si="3"/>
        <v>0</v>
      </c>
      <c r="E15" s="254">
        <v>7</v>
      </c>
      <c r="F15" s="140">
        <f t="shared" si="4"/>
        <v>0</v>
      </c>
      <c r="G15" s="255">
        <v>0.05</v>
      </c>
      <c r="H15" s="140">
        <f t="shared" si="5"/>
        <v>0</v>
      </c>
    </row>
    <row r="16" spans="1:26">
      <c r="A16" s="387"/>
      <c r="B16" s="245" t="s">
        <v>554</v>
      </c>
      <c r="C16" s="253">
        <v>0</v>
      </c>
      <c r="D16" s="140">
        <f t="shared" si="3"/>
        <v>0</v>
      </c>
      <c r="E16" s="254">
        <v>4</v>
      </c>
      <c r="F16" s="140">
        <f t="shared" si="4"/>
        <v>0</v>
      </c>
      <c r="G16" s="255">
        <v>0</v>
      </c>
      <c r="H16" s="140">
        <f t="shared" si="5"/>
        <v>0</v>
      </c>
    </row>
    <row r="17" spans="1:8">
      <c r="A17" s="387"/>
      <c r="B17" s="245" t="s">
        <v>555</v>
      </c>
      <c r="C17" s="253">
        <v>0</v>
      </c>
      <c r="D17" s="140">
        <f t="shared" si="3"/>
        <v>0</v>
      </c>
      <c r="E17" s="254">
        <v>7</v>
      </c>
      <c r="F17" s="140">
        <f t="shared" si="4"/>
        <v>0</v>
      </c>
      <c r="G17" s="255">
        <v>0.02</v>
      </c>
      <c r="H17" s="140">
        <f t="shared" si="5"/>
        <v>0</v>
      </c>
    </row>
    <row r="18" spans="1:8">
      <c r="A18" s="387"/>
      <c r="B18" s="245" t="s">
        <v>556</v>
      </c>
      <c r="C18" s="253">
        <v>0</v>
      </c>
      <c r="D18" s="140">
        <f t="shared" si="3"/>
        <v>0</v>
      </c>
      <c r="E18" s="254">
        <v>20</v>
      </c>
      <c r="F18" s="140">
        <f t="shared" si="4"/>
        <v>0</v>
      </c>
      <c r="G18" s="255">
        <v>0</v>
      </c>
      <c r="H18" s="140">
        <f t="shared" si="5"/>
        <v>0</v>
      </c>
    </row>
    <row r="19" spans="1:8">
      <c r="A19" s="387"/>
      <c r="B19" s="245"/>
      <c r="C19" s="253">
        <v>0</v>
      </c>
      <c r="D19" s="140">
        <f t="shared" si="3"/>
        <v>0</v>
      </c>
      <c r="E19" s="254">
        <v>7</v>
      </c>
      <c r="F19" s="140">
        <f t="shared" si="4"/>
        <v>0</v>
      </c>
      <c r="G19" s="255">
        <v>0.1</v>
      </c>
      <c r="H19" s="140">
        <f t="shared" si="5"/>
        <v>0</v>
      </c>
    </row>
    <row r="20" spans="1:8">
      <c r="A20" s="387"/>
      <c r="B20" s="245"/>
      <c r="C20" s="253">
        <v>0</v>
      </c>
      <c r="D20" s="140">
        <f t="shared" si="3"/>
        <v>0</v>
      </c>
      <c r="E20" s="254">
        <v>6</v>
      </c>
      <c r="F20" s="140">
        <f t="shared" si="4"/>
        <v>0</v>
      </c>
      <c r="G20" s="255">
        <v>0.02</v>
      </c>
      <c r="H20" s="140">
        <f t="shared" si="5"/>
        <v>0</v>
      </c>
    </row>
    <row r="21" spans="1:8" ht="15.75" customHeight="1">
      <c r="A21" s="387"/>
      <c r="B21" s="245"/>
      <c r="C21" s="253">
        <v>0</v>
      </c>
      <c r="D21" s="140">
        <f t="shared" si="3"/>
        <v>0</v>
      </c>
      <c r="E21" s="254"/>
      <c r="F21" s="140">
        <f t="shared" si="4"/>
        <v>0</v>
      </c>
      <c r="G21" s="255">
        <v>0</v>
      </c>
      <c r="H21" s="140">
        <f t="shared" si="5"/>
        <v>0</v>
      </c>
    </row>
    <row r="22" spans="1:8" ht="15.75" customHeight="1">
      <c r="A22" s="388"/>
      <c r="B22" s="245"/>
      <c r="C22" s="253">
        <v>0</v>
      </c>
      <c r="D22" s="140">
        <f t="shared" si="3"/>
        <v>0</v>
      </c>
      <c r="E22" s="254"/>
      <c r="F22" s="140">
        <f t="shared" si="4"/>
        <v>0</v>
      </c>
      <c r="G22" s="255">
        <v>0</v>
      </c>
      <c r="H22" s="140">
        <f t="shared" si="5"/>
        <v>0</v>
      </c>
    </row>
    <row r="23" spans="1:8" ht="15.75" customHeight="1">
      <c r="A23" s="263" t="s">
        <v>557</v>
      </c>
      <c r="B23" s="253"/>
      <c r="C23" s="245">
        <f>B9*B23</f>
        <v>0</v>
      </c>
      <c r="D23" s="140"/>
      <c r="E23" s="254"/>
      <c r="F23" s="140"/>
      <c r="G23" s="255"/>
      <c r="H23" s="140"/>
    </row>
    <row r="24" spans="1:8" ht="15.75" customHeight="1">
      <c r="A24" s="442" t="s">
        <v>532</v>
      </c>
      <c r="B24" s="245" t="s">
        <v>552</v>
      </c>
      <c r="C24" s="253">
        <v>0</v>
      </c>
      <c r="D24" s="140">
        <f t="shared" ref="D24:D31" si="7">C$23*C24</f>
        <v>0</v>
      </c>
      <c r="E24" s="254">
        <v>10</v>
      </c>
      <c r="F24" s="140">
        <f t="shared" ref="F24:F31" si="8">D24*E24</f>
        <v>0</v>
      </c>
      <c r="G24" s="255">
        <v>0.1</v>
      </c>
      <c r="H24" s="140">
        <f t="shared" ref="H24:H31" si="9">(F24-F24*G24)</f>
        <v>0</v>
      </c>
    </row>
    <row r="25" spans="1:8" ht="15.75" customHeight="1">
      <c r="A25" s="387"/>
      <c r="B25" s="245" t="s">
        <v>553</v>
      </c>
      <c r="C25" s="253">
        <v>0</v>
      </c>
      <c r="D25" s="140">
        <f t="shared" si="7"/>
        <v>0</v>
      </c>
      <c r="E25" s="254">
        <v>10</v>
      </c>
      <c r="F25" s="140">
        <f t="shared" si="8"/>
        <v>0</v>
      </c>
      <c r="G25" s="255">
        <v>0.1</v>
      </c>
      <c r="H25" s="140">
        <f t="shared" si="9"/>
        <v>0</v>
      </c>
    </row>
    <row r="26" spans="1:8" ht="15.75" customHeight="1">
      <c r="A26" s="387"/>
      <c r="B26" s="245" t="s">
        <v>554</v>
      </c>
      <c r="C26" s="253">
        <v>0</v>
      </c>
      <c r="D26" s="140">
        <f t="shared" si="7"/>
        <v>0</v>
      </c>
      <c r="E26" s="254">
        <v>10</v>
      </c>
      <c r="F26" s="140">
        <f t="shared" si="8"/>
        <v>0</v>
      </c>
      <c r="G26" s="255">
        <v>0.05</v>
      </c>
      <c r="H26" s="140">
        <f t="shared" si="9"/>
        <v>0</v>
      </c>
    </row>
    <row r="27" spans="1:8" ht="15.75" customHeight="1">
      <c r="A27" s="387"/>
      <c r="B27" s="245" t="s">
        <v>555</v>
      </c>
      <c r="C27" s="253">
        <v>0</v>
      </c>
      <c r="D27" s="140">
        <f t="shared" si="7"/>
        <v>0</v>
      </c>
      <c r="E27" s="254">
        <v>20</v>
      </c>
      <c r="F27" s="140">
        <f t="shared" si="8"/>
        <v>0</v>
      </c>
      <c r="G27" s="255">
        <v>0</v>
      </c>
      <c r="H27" s="140">
        <f t="shared" si="9"/>
        <v>0</v>
      </c>
    </row>
    <row r="28" spans="1:8" ht="15.75" customHeight="1">
      <c r="A28" s="387"/>
      <c r="B28" s="245" t="s">
        <v>558</v>
      </c>
      <c r="C28" s="253">
        <v>0</v>
      </c>
      <c r="D28" s="140">
        <f t="shared" si="7"/>
        <v>0</v>
      </c>
      <c r="E28" s="254"/>
      <c r="F28" s="140">
        <f t="shared" si="8"/>
        <v>0</v>
      </c>
      <c r="G28" s="255">
        <v>0</v>
      </c>
      <c r="H28" s="140">
        <f t="shared" si="9"/>
        <v>0</v>
      </c>
    </row>
    <row r="29" spans="1:8" ht="15.75" customHeight="1">
      <c r="A29" s="387"/>
      <c r="B29" s="245"/>
      <c r="C29" s="253">
        <v>0</v>
      </c>
      <c r="D29" s="140">
        <f t="shared" si="7"/>
        <v>0</v>
      </c>
      <c r="E29" s="254"/>
      <c r="F29" s="140">
        <f t="shared" si="8"/>
        <v>0</v>
      </c>
      <c r="G29" s="255">
        <v>0</v>
      </c>
      <c r="H29" s="140">
        <f t="shared" si="9"/>
        <v>0</v>
      </c>
    </row>
    <row r="30" spans="1:8" ht="15.75" customHeight="1">
      <c r="A30" s="387"/>
      <c r="B30" s="245"/>
      <c r="C30" s="253">
        <v>0</v>
      </c>
      <c r="D30" s="140">
        <f t="shared" si="7"/>
        <v>0</v>
      </c>
      <c r="E30" s="254"/>
      <c r="F30" s="140">
        <f t="shared" si="8"/>
        <v>0</v>
      </c>
      <c r="G30" s="255">
        <v>0</v>
      </c>
      <c r="H30" s="140">
        <f t="shared" si="9"/>
        <v>0</v>
      </c>
    </row>
    <row r="31" spans="1:8" ht="15.75" customHeight="1">
      <c r="A31" s="388"/>
      <c r="B31" s="245"/>
      <c r="C31" s="253">
        <v>0</v>
      </c>
      <c r="D31" s="140">
        <f t="shared" si="7"/>
        <v>0</v>
      </c>
      <c r="E31" s="254"/>
      <c r="F31" s="140">
        <f t="shared" si="8"/>
        <v>0</v>
      </c>
      <c r="G31" s="255">
        <v>0</v>
      </c>
      <c r="H31" s="140">
        <f t="shared" si="9"/>
        <v>0</v>
      </c>
    </row>
    <row r="32" spans="1:8" ht="15.75" customHeight="1">
      <c r="A32" s="263" t="s">
        <v>559</v>
      </c>
      <c r="B32" s="253"/>
      <c r="C32" s="245">
        <f>B9*B32</f>
        <v>0</v>
      </c>
      <c r="D32" s="140"/>
      <c r="E32" s="254"/>
      <c r="F32" s="140"/>
      <c r="G32" s="255"/>
      <c r="H32" s="140"/>
    </row>
    <row r="33" spans="1:8" ht="15.75" customHeight="1">
      <c r="A33" s="257" t="s">
        <v>537</v>
      </c>
      <c r="B33" s="245"/>
      <c r="C33" s="253">
        <v>0</v>
      </c>
      <c r="D33" s="140">
        <f t="shared" ref="D33:D36" si="10">C$32*C33</f>
        <v>0</v>
      </c>
      <c r="E33" s="254"/>
      <c r="F33" s="140">
        <f t="shared" ref="F33:F40" si="11">D33*E33</f>
        <v>0</v>
      </c>
      <c r="G33" s="255">
        <v>0</v>
      </c>
      <c r="H33" s="140">
        <f t="shared" ref="H33:H40" si="12">(F33-F33*G33)</f>
        <v>0</v>
      </c>
    </row>
    <row r="34" spans="1:8" ht="15.75" customHeight="1">
      <c r="A34" s="8"/>
      <c r="B34" s="245"/>
      <c r="C34" s="253">
        <v>0</v>
      </c>
      <c r="D34" s="140">
        <f t="shared" si="10"/>
        <v>0</v>
      </c>
      <c r="E34" s="254"/>
      <c r="F34" s="140">
        <f t="shared" si="11"/>
        <v>0</v>
      </c>
      <c r="G34" s="255">
        <v>0</v>
      </c>
      <c r="H34" s="140">
        <f t="shared" si="12"/>
        <v>0</v>
      </c>
    </row>
    <row r="35" spans="1:8" ht="15.75" customHeight="1">
      <c r="A35" s="8"/>
      <c r="B35" s="245"/>
      <c r="C35" s="253">
        <v>0</v>
      </c>
      <c r="D35" s="140">
        <f t="shared" si="10"/>
        <v>0</v>
      </c>
      <c r="E35" s="254"/>
      <c r="F35" s="140">
        <f t="shared" si="11"/>
        <v>0</v>
      </c>
      <c r="G35" s="255">
        <v>0</v>
      </c>
      <c r="H35" s="140">
        <f t="shared" si="12"/>
        <v>0</v>
      </c>
    </row>
    <row r="36" spans="1:8" ht="15.75" customHeight="1">
      <c r="A36" s="258"/>
      <c r="B36" s="245"/>
      <c r="C36" s="253">
        <v>0</v>
      </c>
      <c r="D36" s="140">
        <f t="shared" si="10"/>
        <v>0</v>
      </c>
      <c r="E36" s="254"/>
      <c r="F36" s="140">
        <f t="shared" si="11"/>
        <v>0</v>
      </c>
      <c r="G36" s="255">
        <v>0</v>
      </c>
      <c r="H36" s="140">
        <f t="shared" si="12"/>
        <v>0</v>
      </c>
    </row>
    <row r="37" spans="1:8" ht="15.75" customHeight="1">
      <c r="A37" s="444" t="s">
        <v>560</v>
      </c>
      <c r="B37" s="245" t="s">
        <v>328</v>
      </c>
      <c r="C37" s="253">
        <v>0</v>
      </c>
      <c r="D37" s="140">
        <f t="shared" ref="D37:D40" si="13">$B$9*C37</f>
        <v>0</v>
      </c>
      <c r="E37" s="254">
        <v>6</v>
      </c>
      <c r="F37" s="140">
        <f t="shared" si="11"/>
        <v>0</v>
      </c>
      <c r="G37" s="255">
        <v>0.05</v>
      </c>
      <c r="H37" s="140">
        <f t="shared" si="12"/>
        <v>0</v>
      </c>
    </row>
    <row r="38" spans="1:8" ht="15.75" customHeight="1">
      <c r="A38" s="387"/>
      <c r="B38" s="245" t="s">
        <v>561</v>
      </c>
      <c r="C38" s="253">
        <v>0</v>
      </c>
      <c r="D38" s="140">
        <f t="shared" si="13"/>
        <v>0</v>
      </c>
      <c r="E38" s="254"/>
      <c r="F38" s="140">
        <f t="shared" si="11"/>
        <v>0</v>
      </c>
      <c r="G38" s="255">
        <v>0</v>
      </c>
      <c r="H38" s="140">
        <f t="shared" si="12"/>
        <v>0</v>
      </c>
    </row>
    <row r="39" spans="1:8" ht="15.75" customHeight="1">
      <c r="A39" s="387"/>
      <c r="B39" s="245" t="s">
        <v>562</v>
      </c>
      <c r="C39" s="253">
        <v>0</v>
      </c>
      <c r="D39" s="140">
        <f t="shared" si="13"/>
        <v>0</v>
      </c>
      <c r="E39" s="254"/>
      <c r="F39" s="140">
        <f t="shared" si="11"/>
        <v>0</v>
      </c>
      <c r="G39" s="255">
        <v>0</v>
      </c>
      <c r="H39" s="140">
        <f t="shared" si="12"/>
        <v>0</v>
      </c>
    </row>
    <row r="40" spans="1:8" ht="15.75" customHeight="1">
      <c r="A40" s="388"/>
      <c r="B40" s="245" t="s">
        <v>563</v>
      </c>
      <c r="C40" s="253">
        <v>0</v>
      </c>
      <c r="D40" s="140">
        <f t="shared" si="13"/>
        <v>0</v>
      </c>
      <c r="E40" s="254"/>
      <c r="F40" s="140">
        <f t="shared" si="11"/>
        <v>0</v>
      </c>
      <c r="G40" s="255">
        <v>0</v>
      </c>
      <c r="H40" s="140">
        <f t="shared" si="12"/>
        <v>0</v>
      </c>
    </row>
    <row r="41" spans="1:8" ht="15.75" customHeight="1">
      <c r="A41" s="441" t="s">
        <v>539</v>
      </c>
      <c r="B41" s="378"/>
      <c r="C41" s="378"/>
      <c r="D41" s="378"/>
      <c r="E41" s="378"/>
      <c r="F41" s="378"/>
      <c r="G41" s="378"/>
      <c r="H41" s="378"/>
    </row>
    <row r="42" spans="1:8" ht="15.75" customHeight="1"/>
    <row r="43" spans="1:8" ht="15.75" customHeight="1">
      <c r="A43" s="443" t="s">
        <v>564</v>
      </c>
      <c r="B43" s="382"/>
      <c r="C43" s="382"/>
      <c r="D43" s="382"/>
      <c r="E43" s="382"/>
      <c r="F43" s="382"/>
      <c r="G43" s="382"/>
      <c r="H43" s="383"/>
    </row>
    <row r="44" spans="1:8" ht="15.75" customHeight="1">
      <c r="A44" s="436" t="s">
        <v>150</v>
      </c>
      <c r="B44" s="259">
        <v>0.35</v>
      </c>
      <c r="C44" s="259">
        <f t="shared" ref="C44:H44" si="14">B44+0.05</f>
        <v>0.39999999999999997</v>
      </c>
      <c r="D44" s="259">
        <f t="shared" si="14"/>
        <v>0.44999999999999996</v>
      </c>
      <c r="E44" s="259">
        <f t="shared" si="14"/>
        <v>0.49999999999999994</v>
      </c>
      <c r="F44" s="259">
        <f t="shared" si="14"/>
        <v>0.54999999999999993</v>
      </c>
      <c r="G44" s="259">
        <f t="shared" si="14"/>
        <v>0.6</v>
      </c>
      <c r="H44" s="259">
        <f t="shared" si="14"/>
        <v>0.65</v>
      </c>
    </row>
    <row r="45" spans="1:8" ht="15.75" customHeight="1">
      <c r="A45" s="388"/>
      <c r="B45" s="243" t="s">
        <v>153</v>
      </c>
      <c r="C45" s="243" t="s">
        <v>154</v>
      </c>
      <c r="D45" s="243" t="s">
        <v>155</v>
      </c>
      <c r="E45" s="243" t="s">
        <v>156</v>
      </c>
      <c r="F45" s="243" t="s">
        <v>157</v>
      </c>
      <c r="G45" s="243" t="s">
        <v>158</v>
      </c>
      <c r="H45" s="243" t="s">
        <v>159</v>
      </c>
    </row>
    <row r="46" spans="1:8" ht="15.75" customHeight="1">
      <c r="A46" s="140" t="str">
        <f t="shared" ref="A46:A54" si="15">B14</f>
        <v>Onion</v>
      </c>
      <c r="B46" s="140">
        <f t="shared" ref="B46:B54" si="16">H14*$B$44</f>
        <v>0</v>
      </c>
      <c r="C46" s="140">
        <f t="shared" ref="C46:H46" si="17">(B46/B$44)*C$44</f>
        <v>0</v>
      </c>
      <c r="D46" s="140">
        <f t="shared" si="17"/>
        <v>0</v>
      </c>
      <c r="E46" s="140">
        <f t="shared" si="17"/>
        <v>0</v>
      </c>
      <c r="F46" s="140">
        <f t="shared" si="17"/>
        <v>0</v>
      </c>
      <c r="G46" s="140">
        <f t="shared" si="17"/>
        <v>0</v>
      </c>
      <c r="H46" s="140">
        <f t="shared" si="17"/>
        <v>0</v>
      </c>
    </row>
    <row r="47" spans="1:8" ht="15.75" customHeight="1">
      <c r="A47" s="140" t="str">
        <f t="shared" si="15"/>
        <v>Tomato</v>
      </c>
      <c r="B47" s="140">
        <f t="shared" si="16"/>
        <v>0</v>
      </c>
      <c r="C47" s="140">
        <f t="shared" ref="C47:H47" si="18">(B47/B$44)*C$44</f>
        <v>0</v>
      </c>
      <c r="D47" s="140">
        <f t="shared" si="18"/>
        <v>0</v>
      </c>
      <c r="E47" s="140">
        <f t="shared" si="18"/>
        <v>0</v>
      </c>
      <c r="F47" s="140">
        <f t="shared" si="18"/>
        <v>0</v>
      </c>
      <c r="G47" s="140">
        <f t="shared" si="18"/>
        <v>0</v>
      </c>
      <c r="H47" s="140">
        <f t="shared" si="18"/>
        <v>0</v>
      </c>
    </row>
    <row r="48" spans="1:8" ht="15.75" customHeight="1">
      <c r="A48" s="140" t="str">
        <f t="shared" si="15"/>
        <v>Okra</v>
      </c>
      <c r="B48" s="140">
        <f t="shared" si="16"/>
        <v>0</v>
      </c>
      <c r="C48" s="140">
        <f t="shared" ref="C48:H48" si="19">(B48/B$44)*C$44</f>
        <v>0</v>
      </c>
      <c r="D48" s="140">
        <f t="shared" si="19"/>
        <v>0</v>
      </c>
      <c r="E48" s="140">
        <f t="shared" si="19"/>
        <v>0</v>
      </c>
      <c r="F48" s="140">
        <f t="shared" si="19"/>
        <v>0</v>
      </c>
      <c r="G48" s="140">
        <f t="shared" si="19"/>
        <v>0</v>
      </c>
      <c r="H48" s="140">
        <f t="shared" si="19"/>
        <v>0</v>
      </c>
    </row>
    <row r="49" spans="1:8" ht="15.75" customHeight="1">
      <c r="A49" s="140" t="str">
        <f t="shared" si="15"/>
        <v>Chilli</v>
      </c>
      <c r="B49" s="140">
        <f t="shared" si="16"/>
        <v>0</v>
      </c>
      <c r="C49" s="140">
        <f t="shared" ref="C49:H49" si="20">(B49/B$44)*C$44</f>
        <v>0</v>
      </c>
      <c r="D49" s="140">
        <f t="shared" si="20"/>
        <v>0</v>
      </c>
      <c r="E49" s="140">
        <f t="shared" si="20"/>
        <v>0</v>
      </c>
      <c r="F49" s="140">
        <f t="shared" si="20"/>
        <v>0</v>
      </c>
      <c r="G49" s="140">
        <f t="shared" si="20"/>
        <v>0</v>
      </c>
      <c r="H49" s="140">
        <f t="shared" si="20"/>
        <v>0</v>
      </c>
    </row>
    <row r="50" spans="1:8" ht="15.75" customHeight="1">
      <c r="A50" s="140" t="str">
        <f t="shared" si="15"/>
        <v>Potato</v>
      </c>
      <c r="B50" s="140">
        <f t="shared" si="16"/>
        <v>0</v>
      </c>
      <c r="C50" s="140">
        <f t="shared" ref="C50:H50" si="21">(B50/B$44)*C$44</f>
        <v>0</v>
      </c>
      <c r="D50" s="140">
        <f t="shared" si="21"/>
        <v>0</v>
      </c>
      <c r="E50" s="140">
        <f t="shared" si="21"/>
        <v>0</v>
      </c>
      <c r="F50" s="140">
        <f t="shared" si="21"/>
        <v>0</v>
      </c>
      <c r="G50" s="140">
        <f t="shared" si="21"/>
        <v>0</v>
      </c>
      <c r="H50" s="140">
        <f t="shared" si="21"/>
        <v>0</v>
      </c>
    </row>
    <row r="51" spans="1:8" ht="15.75" customHeight="1">
      <c r="A51" s="140">
        <f t="shared" si="15"/>
        <v>0</v>
      </c>
      <c r="B51" s="140">
        <f t="shared" si="16"/>
        <v>0</v>
      </c>
      <c r="C51" s="140">
        <f t="shared" ref="C51:H51" si="22">(B51/B$44)*C$44</f>
        <v>0</v>
      </c>
      <c r="D51" s="140">
        <f t="shared" si="22"/>
        <v>0</v>
      </c>
      <c r="E51" s="140">
        <f t="shared" si="22"/>
        <v>0</v>
      </c>
      <c r="F51" s="140">
        <f t="shared" si="22"/>
        <v>0</v>
      </c>
      <c r="G51" s="140">
        <f t="shared" si="22"/>
        <v>0</v>
      </c>
      <c r="H51" s="140">
        <f t="shared" si="22"/>
        <v>0</v>
      </c>
    </row>
    <row r="52" spans="1:8" ht="15.75" customHeight="1">
      <c r="A52" s="140">
        <f t="shared" si="15"/>
        <v>0</v>
      </c>
      <c r="B52" s="140">
        <f t="shared" si="16"/>
        <v>0</v>
      </c>
      <c r="C52" s="140">
        <f t="shared" ref="C52:H52" si="23">(B52/B$44)*C$44</f>
        <v>0</v>
      </c>
      <c r="D52" s="140">
        <f t="shared" si="23"/>
        <v>0</v>
      </c>
      <c r="E52" s="140">
        <f t="shared" si="23"/>
        <v>0</v>
      </c>
      <c r="F52" s="140">
        <f t="shared" si="23"/>
        <v>0</v>
      </c>
      <c r="G52" s="140">
        <f t="shared" si="23"/>
        <v>0</v>
      </c>
      <c r="H52" s="140">
        <f t="shared" si="23"/>
        <v>0</v>
      </c>
    </row>
    <row r="53" spans="1:8" ht="15.75" customHeight="1">
      <c r="A53" s="140">
        <f t="shared" si="15"/>
        <v>0</v>
      </c>
      <c r="B53" s="140">
        <f t="shared" si="16"/>
        <v>0</v>
      </c>
      <c r="C53" s="140">
        <f t="shared" ref="C53:H53" si="24">(B53/B$44)*C$44</f>
        <v>0</v>
      </c>
      <c r="D53" s="140">
        <f t="shared" si="24"/>
        <v>0</v>
      </c>
      <c r="E53" s="140">
        <f t="shared" si="24"/>
        <v>0</v>
      </c>
      <c r="F53" s="140">
        <f t="shared" si="24"/>
        <v>0</v>
      </c>
      <c r="G53" s="140">
        <f t="shared" si="24"/>
        <v>0</v>
      </c>
      <c r="H53" s="140">
        <f t="shared" si="24"/>
        <v>0</v>
      </c>
    </row>
    <row r="54" spans="1:8" ht="15.75" customHeight="1">
      <c r="A54" s="140">
        <f t="shared" si="15"/>
        <v>0</v>
      </c>
      <c r="B54" s="140">
        <f t="shared" si="16"/>
        <v>0</v>
      </c>
      <c r="C54" s="140">
        <f t="shared" ref="C54:H54" si="25">(B54/B$44)*C$44</f>
        <v>0</v>
      </c>
      <c r="D54" s="140">
        <f t="shared" si="25"/>
        <v>0</v>
      </c>
      <c r="E54" s="140">
        <f t="shared" si="25"/>
        <v>0</v>
      </c>
      <c r="F54" s="140">
        <f t="shared" si="25"/>
        <v>0</v>
      </c>
      <c r="G54" s="140">
        <f t="shared" si="25"/>
        <v>0</v>
      </c>
      <c r="H54" s="140">
        <f t="shared" si="25"/>
        <v>0</v>
      </c>
    </row>
    <row r="55" spans="1:8" ht="15.75" customHeight="1">
      <c r="A55" s="140" t="str">
        <f t="shared" ref="A55:A62" si="26">B24</f>
        <v>Onion</v>
      </c>
      <c r="B55" s="140">
        <f t="shared" ref="B55:B62" si="27">H24*$B$44</f>
        <v>0</v>
      </c>
      <c r="C55" s="140">
        <f t="shared" ref="C55:H55" si="28">(B55/B$44)*C$44</f>
        <v>0</v>
      </c>
      <c r="D55" s="140">
        <f t="shared" si="28"/>
        <v>0</v>
      </c>
      <c r="E55" s="140">
        <f t="shared" si="28"/>
        <v>0</v>
      </c>
      <c r="F55" s="140">
        <f t="shared" si="28"/>
        <v>0</v>
      </c>
      <c r="G55" s="140">
        <f t="shared" si="28"/>
        <v>0</v>
      </c>
      <c r="H55" s="140">
        <f t="shared" si="28"/>
        <v>0</v>
      </c>
    </row>
    <row r="56" spans="1:8" ht="15.75" customHeight="1">
      <c r="A56" s="140" t="str">
        <f t="shared" si="26"/>
        <v>Tomato</v>
      </c>
      <c r="B56" s="140">
        <f t="shared" si="27"/>
        <v>0</v>
      </c>
      <c r="C56" s="140">
        <f t="shared" ref="C56:H56" si="29">(B56/B$44)*C$44</f>
        <v>0</v>
      </c>
      <c r="D56" s="140">
        <f t="shared" si="29"/>
        <v>0</v>
      </c>
      <c r="E56" s="140">
        <f t="shared" si="29"/>
        <v>0</v>
      </c>
      <c r="F56" s="140">
        <f t="shared" si="29"/>
        <v>0</v>
      </c>
      <c r="G56" s="140">
        <f t="shared" si="29"/>
        <v>0</v>
      </c>
      <c r="H56" s="140">
        <f t="shared" si="29"/>
        <v>0</v>
      </c>
    </row>
    <row r="57" spans="1:8" ht="15.75" customHeight="1">
      <c r="A57" s="140" t="str">
        <f t="shared" si="26"/>
        <v>Okra</v>
      </c>
      <c r="B57" s="140">
        <f t="shared" si="27"/>
        <v>0</v>
      </c>
      <c r="C57" s="140">
        <f t="shared" ref="C57:H57" si="30">(B57/B$44)*C$44</f>
        <v>0</v>
      </c>
      <c r="D57" s="140">
        <f t="shared" si="30"/>
        <v>0</v>
      </c>
      <c r="E57" s="140">
        <f t="shared" si="30"/>
        <v>0</v>
      </c>
      <c r="F57" s="140">
        <f t="shared" si="30"/>
        <v>0</v>
      </c>
      <c r="G57" s="140">
        <f t="shared" si="30"/>
        <v>0</v>
      </c>
      <c r="H57" s="140">
        <f t="shared" si="30"/>
        <v>0</v>
      </c>
    </row>
    <row r="58" spans="1:8" ht="15.75" customHeight="1">
      <c r="A58" s="140" t="str">
        <f t="shared" si="26"/>
        <v>Chilli</v>
      </c>
      <c r="B58" s="140">
        <f t="shared" si="27"/>
        <v>0</v>
      </c>
      <c r="C58" s="140">
        <f t="shared" ref="C58:H58" si="31">(B58/B$44)*C$44</f>
        <v>0</v>
      </c>
      <c r="D58" s="140">
        <f t="shared" si="31"/>
        <v>0</v>
      </c>
      <c r="E58" s="140">
        <f t="shared" si="31"/>
        <v>0</v>
      </c>
      <c r="F58" s="140">
        <f t="shared" si="31"/>
        <v>0</v>
      </c>
      <c r="G58" s="140">
        <f t="shared" si="31"/>
        <v>0</v>
      </c>
      <c r="H58" s="140">
        <f t="shared" si="31"/>
        <v>0</v>
      </c>
    </row>
    <row r="59" spans="1:8" ht="15.75" customHeight="1">
      <c r="A59" s="140" t="str">
        <f t="shared" si="26"/>
        <v>Brinjal</v>
      </c>
      <c r="B59" s="140">
        <f t="shared" si="27"/>
        <v>0</v>
      </c>
      <c r="C59" s="140">
        <f t="shared" ref="C59:H59" si="32">(B59/B$44)*C$44</f>
        <v>0</v>
      </c>
      <c r="D59" s="140">
        <f t="shared" si="32"/>
        <v>0</v>
      </c>
      <c r="E59" s="140">
        <f t="shared" si="32"/>
        <v>0</v>
      </c>
      <c r="F59" s="140">
        <f t="shared" si="32"/>
        <v>0</v>
      </c>
      <c r="G59" s="140">
        <f t="shared" si="32"/>
        <v>0</v>
      </c>
      <c r="H59" s="140">
        <f t="shared" si="32"/>
        <v>0</v>
      </c>
    </row>
    <row r="60" spans="1:8" ht="15.75" customHeight="1">
      <c r="A60" s="140">
        <f t="shared" si="26"/>
        <v>0</v>
      </c>
      <c r="B60" s="140">
        <f t="shared" si="27"/>
        <v>0</v>
      </c>
      <c r="C60" s="140">
        <f t="shared" ref="C60:H60" si="33">(B60/B$44)*C$44</f>
        <v>0</v>
      </c>
      <c r="D60" s="140">
        <f t="shared" si="33"/>
        <v>0</v>
      </c>
      <c r="E60" s="140">
        <f t="shared" si="33"/>
        <v>0</v>
      </c>
      <c r="F60" s="140">
        <f t="shared" si="33"/>
        <v>0</v>
      </c>
      <c r="G60" s="140">
        <f t="shared" si="33"/>
        <v>0</v>
      </c>
      <c r="H60" s="140">
        <f t="shared" si="33"/>
        <v>0</v>
      </c>
    </row>
    <row r="61" spans="1:8" ht="15.75" customHeight="1">
      <c r="A61" s="140">
        <f t="shared" si="26"/>
        <v>0</v>
      </c>
      <c r="B61" s="140">
        <f t="shared" si="27"/>
        <v>0</v>
      </c>
      <c r="C61" s="140">
        <f t="shared" ref="C61:H61" si="34">(B61/B$44)*C$44</f>
        <v>0</v>
      </c>
      <c r="D61" s="140">
        <f t="shared" si="34"/>
        <v>0</v>
      </c>
      <c r="E61" s="140">
        <f t="shared" si="34"/>
        <v>0</v>
      </c>
      <c r="F61" s="140">
        <f t="shared" si="34"/>
        <v>0</v>
      </c>
      <c r="G61" s="140">
        <f t="shared" si="34"/>
        <v>0</v>
      </c>
      <c r="H61" s="140">
        <f t="shared" si="34"/>
        <v>0</v>
      </c>
    </row>
    <row r="62" spans="1:8" ht="15.75" customHeight="1">
      <c r="A62" s="140">
        <f t="shared" si="26"/>
        <v>0</v>
      </c>
      <c r="B62" s="140">
        <f t="shared" si="27"/>
        <v>0</v>
      </c>
      <c r="C62" s="140">
        <f t="shared" ref="C62:H62" si="35">(B62/B$44)*C$44</f>
        <v>0</v>
      </c>
      <c r="D62" s="140">
        <f t="shared" si="35"/>
        <v>0</v>
      </c>
      <c r="E62" s="140">
        <f t="shared" si="35"/>
        <v>0</v>
      </c>
      <c r="F62" s="140">
        <f t="shared" si="35"/>
        <v>0</v>
      </c>
      <c r="G62" s="140">
        <f t="shared" si="35"/>
        <v>0</v>
      </c>
      <c r="H62" s="140">
        <f t="shared" si="35"/>
        <v>0</v>
      </c>
    </row>
    <row r="63" spans="1:8" ht="15.75" customHeight="1">
      <c r="A63" s="140">
        <f t="shared" ref="A63:A70" si="36">B33</f>
        <v>0</v>
      </c>
      <c r="B63" s="140">
        <f t="shared" ref="B63:B70" si="37">H33*$B$44</f>
        <v>0</v>
      </c>
      <c r="C63" s="140">
        <f t="shared" ref="C63:H63" si="38">(B63/B$44)*C$44</f>
        <v>0</v>
      </c>
      <c r="D63" s="140">
        <f t="shared" si="38"/>
        <v>0</v>
      </c>
      <c r="E63" s="140">
        <f t="shared" si="38"/>
        <v>0</v>
      </c>
      <c r="F63" s="140">
        <f t="shared" si="38"/>
        <v>0</v>
      </c>
      <c r="G63" s="140">
        <f t="shared" si="38"/>
        <v>0</v>
      </c>
      <c r="H63" s="140">
        <f t="shared" si="38"/>
        <v>0</v>
      </c>
    </row>
    <row r="64" spans="1:8" ht="15.75" customHeight="1">
      <c r="A64" s="140">
        <f t="shared" si="36"/>
        <v>0</v>
      </c>
      <c r="B64" s="140">
        <f t="shared" si="37"/>
        <v>0</v>
      </c>
      <c r="C64" s="140">
        <f t="shared" ref="C64:H64" si="39">(B64/B$44)*C$44</f>
        <v>0</v>
      </c>
      <c r="D64" s="140">
        <f t="shared" si="39"/>
        <v>0</v>
      </c>
      <c r="E64" s="140">
        <f t="shared" si="39"/>
        <v>0</v>
      </c>
      <c r="F64" s="140">
        <f t="shared" si="39"/>
        <v>0</v>
      </c>
      <c r="G64" s="140">
        <f t="shared" si="39"/>
        <v>0</v>
      </c>
      <c r="H64" s="140">
        <f t="shared" si="39"/>
        <v>0</v>
      </c>
    </row>
    <row r="65" spans="1:26" ht="15.75" customHeight="1">
      <c r="A65" s="140">
        <f t="shared" si="36"/>
        <v>0</v>
      </c>
      <c r="B65" s="140">
        <f t="shared" si="37"/>
        <v>0</v>
      </c>
      <c r="C65" s="140">
        <f t="shared" ref="C65:H65" si="40">(B65/B$44)*C$44</f>
        <v>0</v>
      </c>
      <c r="D65" s="140">
        <f t="shared" si="40"/>
        <v>0</v>
      </c>
      <c r="E65" s="140">
        <f t="shared" si="40"/>
        <v>0</v>
      </c>
      <c r="F65" s="140">
        <f t="shared" si="40"/>
        <v>0</v>
      </c>
      <c r="G65" s="140">
        <f t="shared" si="40"/>
        <v>0</v>
      </c>
      <c r="H65" s="140">
        <f t="shared" si="40"/>
        <v>0</v>
      </c>
    </row>
    <row r="66" spans="1:26" ht="15.75" customHeight="1">
      <c r="A66" s="140">
        <f t="shared" si="36"/>
        <v>0</v>
      </c>
      <c r="B66" s="140">
        <f t="shared" si="37"/>
        <v>0</v>
      </c>
      <c r="C66" s="140">
        <f t="shared" ref="C66:H66" si="41">(B66/B$44)*C$44</f>
        <v>0</v>
      </c>
      <c r="D66" s="140">
        <f t="shared" si="41"/>
        <v>0</v>
      </c>
      <c r="E66" s="140">
        <f t="shared" si="41"/>
        <v>0</v>
      </c>
      <c r="F66" s="140">
        <f t="shared" si="41"/>
        <v>0</v>
      </c>
      <c r="G66" s="140">
        <f t="shared" si="41"/>
        <v>0</v>
      </c>
      <c r="H66" s="140">
        <f t="shared" si="41"/>
        <v>0</v>
      </c>
    </row>
    <row r="67" spans="1:26" ht="15.75" customHeight="1">
      <c r="A67" s="140" t="str">
        <f t="shared" si="36"/>
        <v>Pomegranate</v>
      </c>
      <c r="B67" s="140">
        <f t="shared" si="37"/>
        <v>0</v>
      </c>
      <c r="C67" s="140">
        <f t="shared" ref="C67:H67" si="42">(B67/B$44)*C$44</f>
        <v>0</v>
      </c>
      <c r="D67" s="140">
        <f t="shared" si="42"/>
        <v>0</v>
      </c>
      <c r="E67" s="140">
        <f t="shared" si="42"/>
        <v>0</v>
      </c>
      <c r="F67" s="140">
        <f t="shared" si="42"/>
        <v>0</v>
      </c>
      <c r="G67" s="140">
        <f t="shared" si="42"/>
        <v>0</v>
      </c>
      <c r="H67" s="140">
        <f t="shared" si="42"/>
        <v>0</v>
      </c>
    </row>
    <row r="68" spans="1:26" ht="15.75" customHeight="1">
      <c r="A68" s="140" t="str">
        <f t="shared" si="36"/>
        <v>Custard Apple</v>
      </c>
      <c r="B68" s="140">
        <f t="shared" si="37"/>
        <v>0</v>
      </c>
      <c r="C68" s="140">
        <f t="shared" ref="C68:H68" si="43">(B68/B$44)*C$44</f>
        <v>0</v>
      </c>
      <c r="D68" s="140">
        <f t="shared" si="43"/>
        <v>0</v>
      </c>
      <c r="E68" s="140">
        <f t="shared" si="43"/>
        <v>0</v>
      </c>
      <c r="F68" s="140">
        <f t="shared" si="43"/>
        <v>0</v>
      </c>
      <c r="G68" s="140">
        <f t="shared" si="43"/>
        <v>0</v>
      </c>
      <c r="H68" s="140">
        <f t="shared" si="43"/>
        <v>0</v>
      </c>
    </row>
    <row r="69" spans="1:26" ht="15.75" customHeight="1">
      <c r="A69" s="140" t="str">
        <f t="shared" si="36"/>
        <v>Guava</v>
      </c>
      <c r="B69" s="140">
        <f t="shared" si="37"/>
        <v>0</v>
      </c>
      <c r="C69" s="140">
        <f t="shared" ref="C69:H69" si="44">(B69/B$44)*C$44</f>
        <v>0</v>
      </c>
      <c r="D69" s="140">
        <f t="shared" si="44"/>
        <v>0</v>
      </c>
      <c r="E69" s="140">
        <f t="shared" si="44"/>
        <v>0</v>
      </c>
      <c r="F69" s="140">
        <f t="shared" si="44"/>
        <v>0</v>
      </c>
      <c r="G69" s="140">
        <f t="shared" si="44"/>
        <v>0</v>
      </c>
      <c r="H69" s="140">
        <f t="shared" si="44"/>
        <v>0</v>
      </c>
    </row>
    <row r="70" spans="1:26" ht="15.75" customHeight="1">
      <c r="A70" s="140" t="str">
        <f t="shared" si="36"/>
        <v>Citrus</v>
      </c>
      <c r="B70" s="140">
        <f t="shared" si="37"/>
        <v>0</v>
      </c>
      <c r="C70" s="140">
        <f t="shared" ref="C70:H70" si="45">(B70/B$44)*C$44</f>
        <v>0</v>
      </c>
      <c r="D70" s="140">
        <f t="shared" si="45"/>
        <v>0</v>
      </c>
      <c r="E70" s="140">
        <f t="shared" si="45"/>
        <v>0</v>
      </c>
      <c r="F70" s="140">
        <f t="shared" si="45"/>
        <v>0</v>
      </c>
      <c r="G70" s="140">
        <f t="shared" si="45"/>
        <v>0</v>
      </c>
      <c r="H70" s="140">
        <f t="shared" si="45"/>
        <v>0</v>
      </c>
    </row>
    <row r="71" spans="1:26" ht="15.75" customHeight="1">
      <c r="A71" s="437" t="s">
        <v>565</v>
      </c>
      <c r="B71" s="382"/>
      <c r="C71" s="382"/>
      <c r="D71" s="382"/>
      <c r="E71" s="382"/>
      <c r="F71" s="382"/>
      <c r="G71" s="382"/>
      <c r="H71" s="383"/>
    </row>
    <row r="72" spans="1:26" ht="15.75" customHeight="1">
      <c r="A72" s="445" t="s">
        <v>150</v>
      </c>
      <c r="B72" s="260">
        <v>0.05</v>
      </c>
      <c r="C72" s="260">
        <f t="shared" ref="C72:H72" si="46">B72+0.05</f>
        <v>0.1</v>
      </c>
      <c r="D72" s="260">
        <f t="shared" si="46"/>
        <v>0.15000000000000002</v>
      </c>
      <c r="E72" s="260">
        <f t="shared" si="46"/>
        <v>0.2</v>
      </c>
      <c r="F72" s="260">
        <f t="shared" si="46"/>
        <v>0.25</v>
      </c>
      <c r="G72" s="260">
        <f t="shared" si="46"/>
        <v>0.3</v>
      </c>
      <c r="H72" s="260">
        <f t="shared" si="46"/>
        <v>0.35</v>
      </c>
    </row>
    <row r="73" spans="1:26" ht="15.75" customHeight="1">
      <c r="A73" s="388"/>
      <c r="B73" s="243" t="s">
        <v>153</v>
      </c>
      <c r="C73" s="243" t="s">
        <v>154</v>
      </c>
      <c r="D73" s="243" t="s">
        <v>155</v>
      </c>
      <c r="E73" s="243" t="s">
        <v>156</v>
      </c>
      <c r="F73" s="243" t="s">
        <v>157</v>
      </c>
      <c r="G73" s="243" t="s">
        <v>158</v>
      </c>
      <c r="H73" s="243" t="s">
        <v>159</v>
      </c>
    </row>
    <row r="74" spans="1:26" ht="15.75" customHeight="1">
      <c r="A74" s="140" t="str">
        <f t="shared" ref="A74:A98" si="47">A46</f>
        <v>Onion</v>
      </c>
      <c r="B74" s="140">
        <f t="shared" ref="B74:H74" si="48">H14*$B$72</f>
        <v>0</v>
      </c>
      <c r="C74" s="140">
        <f t="shared" si="48"/>
        <v>0</v>
      </c>
      <c r="D74" s="140">
        <f t="shared" si="48"/>
        <v>0</v>
      </c>
      <c r="E74" s="140">
        <f t="shared" si="48"/>
        <v>0</v>
      </c>
      <c r="F74" s="140">
        <f t="shared" si="48"/>
        <v>0</v>
      </c>
      <c r="G74" s="140">
        <f t="shared" si="48"/>
        <v>0</v>
      </c>
      <c r="H74" s="140">
        <f t="shared" si="48"/>
        <v>0</v>
      </c>
      <c r="I74" s="84"/>
      <c r="J74" s="84"/>
      <c r="K74" s="84"/>
      <c r="L74" s="84"/>
      <c r="M74" s="84"/>
      <c r="N74" s="84"/>
      <c r="O74" s="84"/>
      <c r="P74" s="84"/>
      <c r="Q74" s="84"/>
      <c r="R74" s="84"/>
      <c r="S74" s="84"/>
      <c r="T74" s="84"/>
      <c r="U74" s="84"/>
      <c r="V74" s="84"/>
      <c r="W74" s="84"/>
      <c r="X74" s="84"/>
      <c r="Y74" s="84"/>
      <c r="Z74" s="84"/>
    </row>
    <row r="75" spans="1:26" ht="15.75" customHeight="1">
      <c r="A75" s="140" t="str">
        <f t="shared" si="47"/>
        <v>Tomato</v>
      </c>
      <c r="B75" s="140">
        <f>H15*$B$72*0</f>
        <v>0</v>
      </c>
      <c r="C75" s="140">
        <f t="shared" ref="C75:H75" si="49">(B75/B72)*C72</f>
        <v>0</v>
      </c>
      <c r="D75" s="140">
        <f t="shared" si="49"/>
        <v>0</v>
      </c>
      <c r="E75" s="140">
        <f t="shared" si="49"/>
        <v>0</v>
      </c>
      <c r="F75" s="140">
        <f t="shared" si="49"/>
        <v>0</v>
      </c>
      <c r="G75" s="140">
        <f t="shared" si="49"/>
        <v>0</v>
      </c>
      <c r="H75" s="140">
        <f t="shared" si="49"/>
        <v>0</v>
      </c>
    </row>
    <row r="76" spans="1:26" ht="15.75" customHeight="1">
      <c r="A76" s="140" t="str">
        <f t="shared" si="47"/>
        <v>Okra</v>
      </c>
      <c r="B76" s="140">
        <f>H16*$B$72</f>
        <v>0</v>
      </c>
      <c r="C76" s="140">
        <f t="shared" ref="C76:H76" si="50">(B76/B72)*C72</f>
        <v>0</v>
      </c>
      <c r="D76" s="140">
        <f t="shared" si="50"/>
        <v>0</v>
      </c>
      <c r="E76" s="140">
        <f t="shared" si="50"/>
        <v>0</v>
      </c>
      <c r="F76" s="140">
        <f t="shared" si="50"/>
        <v>0</v>
      </c>
      <c r="G76" s="140">
        <f t="shared" si="50"/>
        <v>0</v>
      </c>
      <c r="H76" s="140">
        <f t="shared" si="50"/>
        <v>0</v>
      </c>
    </row>
    <row r="77" spans="1:26" ht="15.75" customHeight="1">
      <c r="A77" s="140" t="str">
        <f t="shared" si="47"/>
        <v>Chilli</v>
      </c>
      <c r="B77" s="140">
        <f>H17*$B$72*0</f>
        <v>0</v>
      </c>
      <c r="C77" s="140">
        <f t="shared" ref="C77:H77" si="51">(B77/B$72)*C$72</f>
        <v>0</v>
      </c>
      <c r="D77" s="140">
        <f t="shared" si="51"/>
        <v>0</v>
      </c>
      <c r="E77" s="140">
        <f t="shared" si="51"/>
        <v>0</v>
      </c>
      <c r="F77" s="140">
        <f t="shared" si="51"/>
        <v>0</v>
      </c>
      <c r="G77" s="140">
        <f t="shared" si="51"/>
        <v>0</v>
      </c>
      <c r="H77" s="140">
        <f t="shared" si="51"/>
        <v>0</v>
      </c>
    </row>
    <row r="78" spans="1:26" ht="15.75" customHeight="1">
      <c r="A78" s="140" t="str">
        <f t="shared" si="47"/>
        <v>Potato</v>
      </c>
      <c r="B78" s="140">
        <f>H18*$B$72</f>
        <v>0</v>
      </c>
      <c r="C78" s="140">
        <f t="shared" ref="C78:H78" si="52">(B78/B$72)*C$72</f>
        <v>0</v>
      </c>
      <c r="D78" s="140">
        <f t="shared" si="52"/>
        <v>0</v>
      </c>
      <c r="E78" s="140">
        <f t="shared" si="52"/>
        <v>0</v>
      </c>
      <c r="F78" s="140">
        <f t="shared" si="52"/>
        <v>0</v>
      </c>
      <c r="G78" s="140">
        <f t="shared" si="52"/>
        <v>0</v>
      </c>
      <c r="H78" s="140">
        <f t="shared" si="52"/>
        <v>0</v>
      </c>
    </row>
    <row r="79" spans="1:26" ht="15.75" customHeight="1">
      <c r="A79" s="140">
        <f t="shared" si="47"/>
        <v>0</v>
      </c>
      <c r="B79" s="140">
        <f t="shared" ref="B79:B80" si="53">H19*$B$72*0</f>
        <v>0</v>
      </c>
      <c r="C79" s="140">
        <f t="shared" ref="C79:H79" si="54">(B79/B$72)*C$72</f>
        <v>0</v>
      </c>
      <c r="D79" s="140">
        <f t="shared" si="54"/>
        <v>0</v>
      </c>
      <c r="E79" s="140">
        <f t="shared" si="54"/>
        <v>0</v>
      </c>
      <c r="F79" s="140">
        <f t="shared" si="54"/>
        <v>0</v>
      </c>
      <c r="G79" s="140">
        <f t="shared" si="54"/>
        <v>0</v>
      </c>
      <c r="H79" s="140">
        <f t="shared" si="54"/>
        <v>0</v>
      </c>
    </row>
    <row r="80" spans="1:26" ht="15.75" customHeight="1">
      <c r="A80" s="140">
        <f t="shared" si="47"/>
        <v>0</v>
      </c>
      <c r="B80" s="140">
        <f t="shared" si="53"/>
        <v>0</v>
      </c>
      <c r="C80" s="140">
        <f t="shared" ref="C80:H80" si="55">(B80/B$72)*C$72</f>
        <v>0</v>
      </c>
      <c r="D80" s="140">
        <f t="shared" si="55"/>
        <v>0</v>
      </c>
      <c r="E80" s="140">
        <f t="shared" si="55"/>
        <v>0</v>
      </c>
      <c r="F80" s="140">
        <f t="shared" si="55"/>
        <v>0</v>
      </c>
      <c r="G80" s="140">
        <f t="shared" si="55"/>
        <v>0</v>
      </c>
      <c r="H80" s="140">
        <f t="shared" si="55"/>
        <v>0</v>
      </c>
    </row>
    <row r="81" spans="1:8" ht="15.75" customHeight="1">
      <c r="A81" s="140">
        <f t="shared" si="47"/>
        <v>0</v>
      </c>
      <c r="B81" s="140">
        <f t="shared" ref="B81:B82" si="56">H21*$B$72</f>
        <v>0</v>
      </c>
      <c r="C81" s="140">
        <f t="shared" ref="C81:H81" si="57">(B81/B$72)*C$72</f>
        <v>0</v>
      </c>
      <c r="D81" s="140">
        <f t="shared" si="57"/>
        <v>0</v>
      </c>
      <c r="E81" s="140">
        <f t="shared" si="57"/>
        <v>0</v>
      </c>
      <c r="F81" s="140">
        <f t="shared" si="57"/>
        <v>0</v>
      </c>
      <c r="G81" s="140">
        <f t="shared" si="57"/>
        <v>0</v>
      </c>
      <c r="H81" s="140">
        <f t="shared" si="57"/>
        <v>0</v>
      </c>
    </row>
    <row r="82" spans="1:8" ht="15.75" customHeight="1">
      <c r="A82" s="140">
        <f t="shared" si="47"/>
        <v>0</v>
      </c>
      <c r="B82" s="140">
        <f t="shared" si="56"/>
        <v>0</v>
      </c>
      <c r="C82" s="140">
        <f t="shared" ref="C82:H82" si="58">(B82/B$72)*C$72</f>
        <v>0</v>
      </c>
      <c r="D82" s="140">
        <f t="shared" si="58"/>
        <v>0</v>
      </c>
      <c r="E82" s="140">
        <f t="shared" si="58"/>
        <v>0</v>
      </c>
      <c r="F82" s="140">
        <f t="shared" si="58"/>
        <v>0</v>
      </c>
      <c r="G82" s="140">
        <f t="shared" si="58"/>
        <v>0</v>
      </c>
      <c r="H82" s="140">
        <f t="shared" si="58"/>
        <v>0</v>
      </c>
    </row>
    <row r="83" spans="1:8" ht="15.75" customHeight="1">
      <c r="A83" s="140" t="str">
        <f t="shared" si="47"/>
        <v>Onion</v>
      </c>
      <c r="B83" s="140">
        <f t="shared" ref="B83:B90" si="59">H24*$B$72</f>
        <v>0</v>
      </c>
      <c r="C83" s="140">
        <f t="shared" ref="C83:H83" si="60">(B83/B$72)*C$72</f>
        <v>0</v>
      </c>
      <c r="D83" s="140">
        <f t="shared" si="60"/>
        <v>0</v>
      </c>
      <c r="E83" s="140">
        <f t="shared" si="60"/>
        <v>0</v>
      </c>
      <c r="F83" s="140">
        <f t="shared" si="60"/>
        <v>0</v>
      </c>
      <c r="G83" s="140">
        <f t="shared" si="60"/>
        <v>0</v>
      </c>
      <c r="H83" s="140">
        <f t="shared" si="60"/>
        <v>0</v>
      </c>
    </row>
    <row r="84" spans="1:8" ht="15.75" customHeight="1">
      <c r="A84" s="140" t="str">
        <f t="shared" si="47"/>
        <v>Tomato</v>
      </c>
      <c r="B84" s="140">
        <f t="shared" si="59"/>
        <v>0</v>
      </c>
      <c r="C84" s="140">
        <f t="shared" ref="C84:H84" si="61">(B84/B$72)*C$72</f>
        <v>0</v>
      </c>
      <c r="D84" s="140">
        <f t="shared" si="61"/>
        <v>0</v>
      </c>
      <c r="E84" s="140">
        <f t="shared" si="61"/>
        <v>0</v>
      </c>
      <c r="F84" s="140">
        <f t="shared" si="61"/>
        <v>0</v>
      </c>
      <c r="G84" s="140">
        <f t="shared" si="61"/>
        <v>0</v>
      </c>
      <c r="H84" s="140">
        <f t="shared" si="61"/>
        <v>0</v>
      </c>
    </row>
    <row r="85" spans="1:8" ht="15.75" customHeight="1">
      <c r="A85" s="140" t="str">
        <f t="shared" si="47"/>
        <v>Okra</v>
      </c>
      <c r="B85" s="140">
        <f t="shared" si="59"/>
        <v>0</v>
      </c>
      <c r="C85" s="140">
        <f t="shared" ref="C85:H85" si="62">(B85/B$72)*C$72</f>
        <v>0</v>
      </c>
      <c r="D85" s="140">
        <f t="shared" si="62"/>
        <v>0</v>
      </c>
      <c r="E85" s="140">
        <f t="shared" si="62"/>
        <v>0</v>
      </c>
      <c r="F85" s="140">
        <f t="shared" si="62"/>
        <v>0</v>
      </c>
      <c r="G85" s="140">
        <f t="shared" si="62"/>
        <v>0</v>
      </c>
      <c r="H85" s="140">
        <f t="shared" si="62"/>
        <v>0</v>
      </c>
    </row>
    <row r="86" spans="1:8" ht="15.75" customHeight="1">
      <c r="A86" s="140" t="str">
        <f t="shared" si="47"/>
        <v>Chilli</v>
      </c>
      <c r="B86" s="140">
        <f t="shared" si="59"/>
        <v>0</v>
      </c>
      <c r="C86" s="140">
        <f t="shared" ref="C86:H86" si="63">(B86/B$72)*C$72</f>
        <v>0</v>
      </c>
      <c r="D86" s="140">
        <f t="shared" si="63"/>
        <v>0</v>
      </c>
      <c r="E86" s="140">
        <f t="shared" si="63"/>
        <v>0</v>
      </c>
      <c r="F86" s="140">
        <f t="shared" si="63"/>
        <v>0</v>
      </c>
      <c r="G86" s="140">
        <f t="shared" si="63"/>
        <v>0</v>
      </c>
      <c r="H86" s="140">
        <f t="shared" si="63"/>
        <v>0</v>
      </c>
    </row>
    <row r="87" spans="1:8" ht="15.75" customHeight="1">
      <c r="A87" s="140" t="str">
        <f t="shared" si="47"/>
        <v>Brinjal</v>
      </c>
      <c r="B87" s="140">
        <f t="shared" si="59"/>
        <v>0</v>
      </c>
      <c r="C87" s="140">
        <f t="shared" ref="C87:H87" si="64">(B87/B$72)*C$72</f>
        <v>0</v>
      </c>
      <c r="D87" s="140">
        <f t="shared" si="64"/>
        <v>0</v>
      </c>
      <c r="E87" s="140">
        <f t="shared" si="64"/>
        <v>0</v>
      </c>
      <c r="F87" s="140">
        <f t="shared" si="64"/>
        <v>0</v>
      </c>
      <c r="G87" s="140">
        <f t="shared" si="64"/>
        <v>0</v>
      </c>
      <c r="H87" s="140">
        <f t="shared" si="64"/>
        <v>0</v>
      </c>
    </row>
    <row r="88" spans="1:8" ht="15.75" customHeight="1">
      <c r="A88" s="140">
        <f t="shared" si="47"/>
        <v>0</v>
      </c>
      <c r="B88" s="140">
        <f t="shared" si="59"/>
        <v>0</v>
      </c>
      <c r="C88" s="140">
        <f t="shared" ref="C88:H88" si="65">(B88/B$72)*C$72</f>
        <v>0</v>
      </c>
      <c r="D88" s="140">
        <f t="shared" si="65"/>
        <v>0</v>
      </c>
      <c r="E88" s="140">
        <f t="shared" si="65"/>
        <v>0</v>
      </c>
      <c r="F88" s="140">
        <f t="shared" si="65"/>
        <v>0</v>
      </c>
      <c r="G88" s="140">
        <f t="shared" si="65"/>
        <v>0</v>
      </c>
      <c r="H88" s="140">
        <f t="shared" si="65"/>
        <v>0</v>
      </c>
    </row>
    <row r="89" spans="1:8" ht="15.75" customHeight="1">
      <c r="A89" s="140">
        <f t="shared" si="47"/>
        <v>0</v>
      </c>
      <c r="B89" s="140">
        <f t="shared" si="59"/>
        <v>0</v>
      </c>
      <c r="C89" s="140">
        <f t="shared" ref="C89:H89" si="66">(B89/B$72)*C$72</f>
        <v>0</v>
      </c>
      <c r="D89" s="140">
        <f t="shared" si="66"/>
        <v>0</v>
      </c>
      <c r="E89" s="140">
        <f t="shared" si="66"/>
        <v>0</v>
      </c>
      <c r="F89" s="140">
        <f t="shared" si="66"/>
        <v>0</v>
      </c>
      <c r="G89" s="140">
        <f t="shared" si="66"/>
        <v>0</v>
      </c>
      <c r="H89" s="140">
        <f t="shared" si="66"/>
        <v>0</v>
      </c>
    </row>
    <row r="90" spans="1:8" ht="15.75" customHeight="1">
      <c r="A90" s="140">
        <f t="shared" si="47"/>
        <v>0</v>
      </c>
      <c r="B90" s="140">
        <f t="shared" si="59"/>
        <v>0</v>
      </c>
      <c r="C90" s="140">
        <f t="shared" ref="C90:H90" si="67">(B90/B$72)*C$72</f>
        <v>0</v>
      </c>
      <c r="D90" s="140">
        <f t="shared" si="67"/>
        <v>0</v>
      </c>
      <c r="E90" s="140">
        <f t="shared" si="67"/>
        <v>0</v>
      </c>
      <c r="F90" s="140">
        <f t="shared" si="67"/>
        <v>0</v>
      </c>
      <c r="G90" s="140">
        <f t="shared" si="67"/>
        <v>0</v>
      </c>
      <c r="H90" s="140">
        <f t="shared" si="67"/>
        <v>0</v>
      </c>
    </row>
    <row r="91" spans="1:8" ht="15.75" customHeight="1">
      <c r="A91" s="140">
        <f t="shared" si="47"/>
        <v>0</v>
      </c>
      <c r="B91" s="140">
        <f t="shared" ref="B91:B98" si="68">H33*$B$72</f>
        <v>0</v>
      </c>
      <c r="C91" s="140">
        <f t="shared" ref="C91:H91" si="69">(B91/B$72)*C$72</f>
        <v>0</v>
      </c>
      <c r="D91" s="140">
        <f t="shared" si="69"/>
        <v>0</v>
      </c>
      <c r="E91" s="140">
        <f t="shared" si="69"/>
        <v>0</v>
      </c>
      <c r="F91" s="140">
        <f t="shared" si="69"/>
        <v>0</v>
      </c>
      <c r="G91" s="140">
        <f t="shared" si="69"/>
        <v>0</v>
      </c>
      <c r="H91" s="140">
        <f t="shared" si="69"/>
        <v>0</v>
      </c>
    </row>
    <row r="92" spans="1:8" ht="15.75" customHeight="1">
      <c r="A92" s="140">
        <f t="shared" si="47"/>
        <v>0</v>
      </c>
      <c r="B92" s="140">
        <f t="shared" si="68"/>
        <v>0</v>
      </c>
      <c r="C92" s="140">
        <f t="shared" ref="C92:G92" si="70">(B92/B$72)*C$72</f>
        <v>0</v>
      </c>
      <c r="D92" s="140">
        <f t="shared" si="70"/>
        <v>0</v>
      </c>
      <c r="E92" s="140">
        <f t="shared" si="70"/>
        <v>0</v>
      </c>
      <c r="F92" s="140">
        <f t="shared" si="70"/>
        <v>0</v>
      </c>
      <c r="G92" s="140">
        <f t="shared" si="70"/>
        <v>0</v>
      </c>
      <c r="H92" s="140"/>
    </row>
    <row r="93" spans="1:8" ht="15.75" customHeight="1">
      <c r="A93" s="140">
        <f t="shared" si="47"/>
        <v>0</v>
      </c>
      <c r="B93" s="140">
        <f t="shared" si="68"/>
        <v>0</v>
      </c>
      <c r="C93" s="140">
        <f t="shared" ref="C93:G93" si="71">(B93/B$72)*C$72</f>
        <v>0</v>
      </c>
      <c r="D93" s="140">
        <f t="shared" si="71"/>
        <v>0</v>
      </c>
      <c r="E93" s="140">
        <f t="shared" si="71"/>
        <v>0</v>
      </c>
      <c r="F93" s="140">
        <f t="shared" si="71"/>
        <v>0</v>
      </c>
      <c r="G93" s="140">
        <f t="shared" si="71"/>
        <v>0</v>
      </c>
      <c r="H93" s="140"/>
    </row>
    <row r="94" spans="1:8" ht="15.75" customHeight="1">
      <c r="A94" s="140">
        <f t="shared" si="47"/>
        <v>0</v>
      </c>
      <c r="B94" s="140">
        <f t="shared" si="68"/>
        <v>0</v>
      </c>
      <c r="C94" s="140">
        <f t="shared" ref="C94:G94" si="72">(B94/B$72)*C$72</f>
        <v>0</v>
      </c>
      <c r="D94" s="140">
        <f t="shared" si="72"/>
        <v>0</v>
      </c>
      <c r="E94" s="140">
        <f t="shared" si="72"/>
        <v>0</v>
      </c>
      <c r="F94" s="140">
        <f t="shared" si="72"/>
        <v>0</v>
      </c>
      <c r="G94" s="140">
        <f t="shared" si="72"/>
        <v>0</v>
      </c>
      <c r="H94" s="140"/>
    </row>
    <row r="95" spans="1:8" ht="15.75" customHeight="1">
      <c r="A95" s="140" t="str">
        <f t="shared" si="47"/>
        <v>Pomegranate</v>
      </c>
      <c r="B95" s="140">
        <f t="shared" si="68"/>
        <v>0</v>
      </c>
      <c r="C95" s="140">
        <f t="shared" ref="C95:H95" si="73">(B95/B$72)*C$72</f>
        <v>0</v>
      </c>
      <c r="D95" s="140">
        <f t="shared" si="73"/>
        <v>0</v>
      </c>
      <c r="E95" s="140">
        <f t="shared" si="73"/>
        <v>0</v>
      </c>
      <c r="F95" s="140">
        <f t="shared" si="73"/>
        <v>0</v>
      </c>
      <c r="G95" s="140">
        <f t="shared" si="73"/>
        <v>0</v>
      </c>
      <c r="H95" s="140">
        <f t="shared" si="73"/>
        <v>0</v>
      </c>
    </row>
    <row r="96" spans="1:8" ht="15.75" customHeight="1">
      <c r="A96" s="140" t="str">
        <f t="shared" si="47"/>
        <v>Custard Apple</v>
      </c>
      <c r="B96" s="140">
        <f t="shared" si="68"/>
        <v>0</v>
      </c>
      <c r="C96" s="140">
        <f t="shared" ref="C96:H96" si="74">(B96/B$72)*C$72</f>
        <v>0</v>
      </c>
      <c r="D96" s="140">
        <f t="shared" si="74"/>
        <v>0</v>
      </c>
      <c r="E96" s="140">
        <f t="shared" si="74"/>
        <v>0</v>
      </c>
      <c r="F96" s="140">
        <f t="shared" si="74"/>
        <v>0</v>
      </c>
      <c r="G96" s="140">
        <f t="shared" si="74"/>
        <v>0</v>
      </c>
      <c r="H96" s="140">
        <f t="shared" si="74"/>
        <v>0</v>
      </c>
    </row>
    <row r="97" spans="1:26" ht="15.75" customHeight="1">
      <c r="A97" s="140" t="str">
        <f t="shared" si="47"/>
        <v>Guava</v>
      </c>
      <c r="B97" s="140">
        <f t="shared" si="68"/>
        <v>0</v>
      </c>
      <c r="C97" s="140">
        <f t="shared" ref="C97:H97" si="75">(B97/B$72)*C$72</f>
        <v>0</v>
      </c>
      <c r="D97" s="140">
        <f t="shared" si="75"/>
        <v>0</v>
      </c>
      <c r="E97" s="140">
        <f t="shared" si="75"/>
        <v>0</v>
      </c>
      <c r="F97" s="140">
        <f t="shared" si="75"/>
        <v>0</v>
      </c>
      <c r="G97" s="140">
        <f t="shared" si="75"/>
        <v>0</v>
      </c>
      <c r="H97" s="140">
        <f t="shared" si="75"/>
        <v>0</v>
      </c>
    </row>
    <row r="98" spans="1:26" ht="15.75" customHeight="1">
      <c r="A98" s="140" t="str">
        <f t="shared" si="47"/>
        <v>Citrus</v>
      </c>
      <c r="B98" s="140">
        <f t="shared" si="68"/>
        <v>0</v>
      </c>
      <c r="C98" s="140">
        <f t="shared" ref="C98:H98" si="76">(B98/B$72)*C$72</f>
        <v>0</v>
      </c>
      <c r="D98" s="140">
        <f t="shared" si="76"/>
        <v>0</v>
      </c>
      <c r="E98" s="140">
        <f t="shared" si="76"/>
        <v>0</v>
      </c>
      <c r="F98" s="140">
        <f t="shared" si="76"/>
        <v>0</v>
      </c>
      <c r="G98" s="140">
        <f t="shared" si="76"/>
        <v>0</v>
      </c>
      <c r="H98" s="140">
        <f t="shared" si="76"/>
        <v>0</v>
      </c>
      <c r="I98" s="84"/>
    </row>
    <row r="99" spans="1:26" ht="15.75" customHeight="1">
      <c r="A99" s="437" t="s">
        <v>566</v>
      </c>
      <c r="B99" s="382"/>
      <c r="C99" s="382"/>
      <c r="D99" s="382"/>
      <c r="E99" s="382"/>
      <c r="F99" s="382"/>
      <c r="G99" s="382"/>
      <c r="H99" s="383"/>
    </row>
    <row r="100" spans="1:26" ht="15.75" customHeight="1">
      <c r="A100" s="438" t="s">
        <v>150</v>
      </c>
      <c r="B100" s="261">
        <v>0.65</v>
      </c>
      <c r="C100" s="262">
        <f t="shared" ref="C100:H100" si="77">B100+0.05</f>
        <v>0.70000000000000007</v>
      </c>
      <c r="D100" s="262">
        <f t="shared" si="77"/>
        <v>0.75000000000000011</v>
      </c>
      <c r="E100" s="262">
        <f t="shared" si="77"/>
        <v>0.80000000000000016</v>
      </c>
      <c r="F100" s="262">
        <f t="shared" si="77"/>
        <v>0.8500000000000002</v>
      </c>
      <c r="G100" s="262">
        <f t="shared" si="77"/>
        <v>0.90000000000000024</v>
      </c>
      <c r="H100" s="262">
        <f t="shared" si="77"/>
        <v>0.95000000000000029</v>
      </c>
    </row>
    <row r="101" spans="1:26" ht="15.75" customHeight="1">
      <c r="A101" s="388"/>
      <c r="B101" s="243" t="s">
        <v>153</v>
      </c>
      <c r="C101" s="243" t="s">
        <v>154</v>
      </c>
      <c r="D101" s="243" t="s">
        <v>155</v>
      </c>
      <c r="E101" s="243" t="s">
        <v>156</v>
      </c>
      <c r="F101" s="243" t="s">
        <v>157</v>
      </c>
      <c r="G101" s="243" t="s">
        <v>158</v>
      </c>
      <c r="H101" s="243" t="s">
        <v>159</v>
      </c>
    </row>
    <row r="102" spans="1:26" ht="15.75" customHeight="1">
      <c r="A102" s="140" t="str">
        <f t="shared" ref="A102:A126" si="78">A74</f>
        <v>Onion</v>
      </c>
      <c r="B102" s="140">
        <f t="shared" ref="B102:B110" si="79">D14*$B$100</f>
        <v>0</v>
      </c>
      <c r="C102" s="140">
        <f t="shared" ref="C102:H102" si="80">(B102/B$100)*C$100</f>
        <v>0</v>
      </c>
      <c r="D102" s="140">
        <f t="shared" si="80"/>
        <v>0</v>
      </c>
      <c r="E102" s="140">
        <f t="shared" si="80"/>
        <v>0</v>
      </c>
      <c r="F102" s="140">
        <f t="shared" si="80"/>
        <v>0</v>
      </c>
      <c r="G102" s="140">
        <f t="shared" si="80"/>
        <v>0</v>
      </c>
      <c r="H102" s="140">
        <f t="shared" si="80"/>
        <v>0</v>
      </c>
      <c r="I102" s="84"/>
      <c r="J102" s="84"/>
      <c r="K102" s="84"/>
      <c r="L102" s="84"/>
      <c r="M102" s="84"/>
      <c r="N102" s="84"/>
      <c r="O102" s="84"/>
      <c r="P102" s="84"/>
      <c r="Q102" s="84"/>
      <c r="R102" s="84"/>
      <c r="S102" s="84"/>
      <c r="T102" s="84"/>
      <c r="U102" s="84"/>
      <c r="V102" s="84"/>
      <c r="W102" s="84"/>
      <c r="X102" s="84"/>
      <c r="Y102" s="84"/>
      <c r="Z102" s="84"/>
    </row>
    <row r="103" spans="1:26" ht="15.75" customHeight="1">
      <c r="A103" s="140" t="str">
        <f t="shared" si="78"/>
        <v>Tomato</v>
      </c>
      <c r="B103" s="140">
        <f t="shared" si="79"/>
        <v>0</v>
      </c>
      <c r="C103" s="140">
        <f t="shared" ref="C103:C126" si="81">(B103/B$100)*C$100</f>
        <v>0</v>
      </c>
      <c r="D103" s="140">
        <f t="shared" ref="D103:H103" si="82">(C103/C100)*D100</f>
        <v>0</v>
      </c>
      <c r="E103" s="140">
        <f t="shared" si="82"/>
        <v>0</v>
      </c>
      <c r="F103" s="140">
        <f t="shared" si="82"/>
        <v>0</v>
      </c>
      <c r="G103" s="140">
        <f t="shared" si="82"/>
        <v>0</v>
      </c>
      <c r="H103" s="140">
        <f t="shared" si="82"/>
        <v>0</v>
      </c>
    </row>
    <row r="104" spans="1:26" ht="15.75" customHeight="1">
      <c r="A104" s="140" t="str">
        <f t="shared" si="78"/>
        <v>Okra</v>
      </c>
      <c r="B104" s="140">
        <f t="shared" si="79"/>
        <v>0</v>
      </c>
      <c r="C104" s="140">
        <f t="shared" si="81"/>
        <v>0</v>
      </c>
      <c r="D104" s="140">
        <f t="shared" ref="D104:H104" si="83">(C104/C$100)*D$100</f>
        <v>0</v>
      </c>
      <c r="E104" s="140">
        <f t="shared" si="83"/>
        <v>0</v>
      </c>
      <c r="F104" s="140">
        <f t="shared" si="83"/>
        <v>0</v>
      </c>
      <c r="G104" s="140">
        <f t="shared" si="83"/>
        <v>0</v>
      </c>
      <c r="H104" s="140">
        <f t="shared" si="83"/>
        <v>0</v>
      </c>
    </row>
    <row r="105" spans="1:26" ht="15.75" customHeight="1">
      <c r="A105" s="140" t="str">
        <f t="shared" si="78"/>
        <v>Chilli</v>
      </c>
      <c r="B105" s="140">
        <f t="shared" si="79"/>
        <v>0</v>
      </c>
      <c r="C105" s="140">
        <f t="shared" si="81"/>
        <v>0</v>
      </c>
      <c r="D105" s="140">
        <f t="shared" ref="D105:H105" si="84">(C105/C$100)*D$100</f>
        <v>0</v>
      </c>
      <c r="E105" s="140">
        <f t="shared" si="84"/>
        <v>0</v>
      </c>
      <c r="F105" s="140">
        <f t="shared" si="84"/>
        <v>0</v>
      </c>
      <c r="G105" s="140">
        <f t="shared" si="84"/>
        <v>0</v>
      </c>
      <c r="H105" s="140">
        <f t="shared" si="84"/>
        <v>0</v>
      </c>
    </row>
    <row r="106" spans="1:26" ht="15.75" customHeight="1">
      <c r="A106" s="140" t="str">
        <f t="shared" si="78"/>
        <v>Potato</v>
      </c>
      <c r="B106" s="140">
        <f t="shared" si="79"/>
        <v>0</v>
      </c>
      <c r="C106" s="140">
        <f t="shared" si="81"/>
        <v>0</v>
      </c>
      <c r="D106" s="140">
        <f t="shared" ref="D106:H106" si="85">(C106/C$100)*D$100</f>
        <v>0</v>
      </c>
      <c r="E106" s="140">
        <f t="shared" si="85"/>
        <v>0</v>
      </c>
      <c r="F106" s="140">
        <f t="shared" si="85"/>
        <v>0</v>
      </c>
      <c r="G106" s="140">
        <f t="shared" si="85"/>
        <v>0</v>
      </c>
      <c r="H106" s="140">
        <f t="shared" si="85"/>
        <v>0</v>
      </c>
    </row>
    <row r="107" spans="1:26" ht="15.75" customHeight="1">
      <c r="A107" s="140">
        <f t="shared" si="78"/>
        <v>0</v>
      </c>
      <c r="B107" s="140">
        <f t="shared" si="79"/>
        <v>0</v>
      </c>
      <c r="C107" s="140">
        <f t="shared" si="81"/>
        <v>0</v>
      </c>
      <c r="D107" s="140">
        <f t="shared" ref="D107:H107" si="86">(C107/C$100)*D$100</f>
        <v>0</v>
      </c>
      <c r="E107" s="140">
        <f t="shared" si="86"/>
        <v>0</v>
      </c>
      <c r="F107" s="140">
        <f t="shared" si="86"/>
        <v>0</v>
      </c>
      <c r="G107" s="140">
        <f t="shared" si="86"/>
        <v>0</v>
      </c>
      <c r="H107" s="140">
        <f t="shared" si="86"/>
        <v>0</v>
      </c>
    </row>
    <row r="108" spans="1:26" ht="15.75" customHeight="1">
      <c r="A108" s="140">
        <f t="shared" si="78"/>
        <v>0</v>
      </c>
      <c r="B108" s="140">
        <f t="shared" si="79"/>
        <v>0</v>
      </c>
      <c r="C108" s="140">
        <f t="shared" si="81"/>
        <v>0</v>
      </c>
      <c r="D108" s="140">
        <f t="shared" ref="D108:H108" si="87">(C108/C$100)*D$100</f>
        <v>0</v>
      </c>
      <c r="E108" s="140">
        <f t="shared" si="87"/>
        <v>0</v>
      </c>
      <c r="F108" s="140">
        <f t="shared" si="87"/>
        <v>0</v>
      </c>
      <c r="G108" s="140">
        <f t="shared" si="87"/>
        <v>0</v>
      </c>
      <c r="H108" s="140">
        <f t="shared" si="87"/>
        <v>0</v>
      </c>
    </row>
    <row r="109" spans="1:26" ht="15.75" customHeight="1">
      <c r="A109" s="140">
        <f t="shared" si="78"/>
        <v>0</v>
      </c>
      <c r="B109" s="140">
        <f t="shared" si="79"/>
        <v>0</v>
      </c>
      <c r="C109" s="140">
        <f t="shared" si="81"/>
        <v>0</v>
      </c>
      <c r="D109" s="140">
        <f t="shared" ref="D109:H109" si="88">(C109/C$100)*D$100</f>
        <v>0</v>
      </c>
      <c r="E109" s="140">
        <f t="shared" si="88"/>
        <v>0</v>
      </c>
      <c r="F109" s="140">
        <f t="shared" si="88"/>
        <v>0</v>
      </c>
      <c r="G109" s="140">
        <f t="shared" si="88"/>
        <v>0</v>
      </c>
      <c r="H109" s="140">
        <f t="shared" si="88"/>
        <v>0</v>
      </c>
    </row>
    <row r="110" spans="1:26" ht="15.75" customHeight="1">
      <c r="A110" s="140">
        <f t="shared" si="78"/>
        <v>0</v>
      </c>
      <c r="B110" s="140">
        <f t="shared" si="79"/>
        <v>0</v>
      </c>
      <c r="C110" s="140">
        <f t="shared" si="81"/>
        <v>0</v>
      </c>
      <c r="D110" s="140">
        <f t="shared" ref="D110:H110" si="89">(C110/C$100)*D$100</f>
        <v>0</v>
      </c>
      <c r="E110" s="140">
        <f t="shared" si="89"/>
        <v>0</v>
      </c>
      <c r="F110" s="140">
        <f t="shared" si="89"/>
        <v>0</v>
      </c>
      <c r="G110" s="140">
        <f t="shared" si="89"/>
        <v>0</v>
      </c>
      <c r="H110" s="140">
        <f t="shared" si="89"/>
        <v>0</v>
      </c>
    </row>
    <row r="111" spans="1:26" ht="15.75" customHeight="1">
      <c r="A111" s="140" t="str">
        <f t="shared" si="78"/>
        <v>Onion</v>
      </c>
      <c r="B111" s="140">
        <f t="shared" ref="B111:B118" si="90">D24*$B$100</f>
        <v>0</v>
      </c>
      <c r="C111" s="140">
        <f t="shared" si="81"/>
        <v>0</v>
      </c>
      <c r="D111" s="140">
        <f t="shared" ref="D111:H111" si="91">(C111/C$100)*D$100</f>
        <v>0</v>
      </c>
      <c r="E111" s="140">
        <f t="shared" si="91"/>
        <v>0</v>
      </c>
      <c r="F111" s="140">
        <f t="shared" si="91"/>
        <v>0</v>
      </c>
      <c r="G111" s="140">
        <f t="shared" si="91"/>
        <v>0</v>
      </c>
      <c r="H111" s="140">
        <f t="shared" si="91"/>
        <v>0</v>
      </c>
    </row>
    <row r="112" spans="1:26" ht="15.75" customHeight="1">
      <c r="A112" s="140" t="str">
        <f t="shared" si="78"/>
        <v>Tomato</v>
      </c>
      <c r="B112" s="140">
        <f t="shared" si="90"/>
        <v>0</v>
      </c>
      <c r="C112" s="140">
        <f t="shared" si="81"/>
        <v>0</v>
      </c>
      <c r="D112" s="140">
        <f t="shared" ref="D112:H112" si="92">(C112/C$100)*D$100</f>
        <v>0</v>
      </c>
      <c r="E112" s="140">
        <f t="shared" si="92"/>
        <v>0</v>
      </c>
      <c r="F112" s="140">
        <f t="shared" si="92"/>
        <v>0</v>
      </c>
      <c r="G112" s="140">
        <f t="shared" si="92"/>
        <v>0</v>
      </c>
      <c r="H112" s="140">
        <f t="shared" si="92"/>
        <v>0</v>
      </c>
    </row>
    <row r="113" spans="1:9" ht="15.75" customHeight="1">
      <c r="A113" s="140" t="str">
        <f t="shared" si="78"/>
        <v>Okra</v>
      </c>
      <c r="B113" s="140">
        <f t="shared" si="90"/>
        <v>0</v>
      </c>
      <c r="C113" s="140">
        <f t="shared" si="81"/>
        <v>0</v>
      </c>
      <c r="D113" s="140">
        <f t="shared" ref="D113:H113" si="93">(C113/C$100)*D$100</f>
        <v>0</v>
      </c>
      <c r="E113" s="140">
        <f t="shared" si="93"/>
        <v>0</v>
      </c>
      <c r="F113" s="140">
        <f t="shared" si="93"/>
        <v>0</v>
      </c>
      <c r="G113" s="140">
        <f t="shared" si="93"/>
        <v>0</v>
      </c>
      <c r="H113" s="140">
        <f t="shared" si="93"/>
        <v>0</v>
      </c>
    </row>
    <row r="114" spans="1:9" ht="15.75" customHeight="1">
      <c r="A114" s="140" t="str">
        <f t="shared" si="78"/>
        <v>Chilli</v>
      </c>
      <c r="B114" s="140">
        <f t="shared" si="90"/>
        <v>0</v>
      </c>
      <c r="C114" s="140">
        <f t="shared" si="81"/>
        <v>0</v>
      </c>
      <c r="D114" s="140">
        <f t="shared" ref="D114:H114" si="94">(C114/C$100)*D$100</f>
        <v>0</v>
      </c>
      <c r="E114" s="140">
        <f t="shared" si="94"/>
        <v>0</v>
      </c>
      <c r="F114" s="140">
        <f t="shared" si="94"/>
        <v>0</v>
      </c>
      <c r="G114" s="140">
        <f t="shared" si="94"/>
        <v>0</v>
      </c>
      <c r="H114" s="140">
        <f t="shared" si="94"/>
        <v>0</v>
      </c>
    </row>
    <row r="115" spans="1:9" ht="15.75" customHeight="1">
      <c r="A115" s="140" t="str">
        <f t="shared" si="78"/>
        <v>Brinjal</v>
      </c>
      <c r="B115" s="140">
        <f t="shared" si="90"/>
        <v>0</v>
      </c>
      <c r="C115" s="140">
        <f t="shared" si="81"/>
        <v>0</v>
      </c>
      <c r="D115" s="140">
        <f t="shared" ref="D115:H115" si="95">(C115/C$100)*D$100</f>
        <v>0</v>
      </c>
      <c r="E115" s="140">
        <f t="shared" si="95"/>
        <v>0</v>
      </c>
      <c r="F115" s="140">
        <f t="shared" si="95"/>
        <v>0</v>
      </c>
      <c r="G115" s="140">
        <f t="shared" si="95"/>
        <v>0</v>
      </c>
      <c r="H115" s="140">
        <f t="shared" si="95"/>
        <v>0</v>
      </c>
    </row>
    <row r="116" spans="1:9" ht="15.75" customHeight="1">
      <c r="A116" s="140">
        <f t="shared" si="78"/>
        <v>0</v>
      </c>
      <c r="B116" s="140">
        <f t="shared" si="90"/>
        <v>0</v>
      </c>
      <c r="C116" s="140">
        <f t="shared" si="81"/>
        <v>0</v>
      </c>
      <c r="D116" s="140">
        <f t="shared" ref="D116:H116" si="96">(C116/C$100)*D$100</f>
        <v>0</v>
      </c>
      <c r="E116" s="140">
        <f t="shared" si="96"/>
        <v>0</v>
      </c>
      <c r="F116" s="140">
        <f t="shared" si="96"/>
        <v>0</v>
      </c>
      <c r="G116" s="140">
        <f t="shared" si="96"/>
        <v>0</v>
      </c>
      <c r="H116" s="140">
        <f t="shared" si="96"/>
        <v>0</v>
      </c>
    </row>
    <row r="117" spans="1:9" ht="15.75" customHeight="1">
      <c r="A117" s="140">
        <f t="shared" si="78"/>
        <v>0</v>
      </c>
      <c r="B117" s="140">
        <f t="shared" si="90"/>
        <v>0</v>
      </c>
      <c r="C117" s="140">
        <f t="shared" si="81"/>
        <v>0</v>
      </c>
      <c r="D117" s="140">
        <f t="shared" ref="D117:H117" si="97">(C117/C$100)*D$100</f>
        <v>0</v>
      </c>
      <c r="E117" s="140">
        <f t="shared" si="97"/>
        <v>0</v>
      </c>
      <c r="F117" s="140">
        <f t="shared" si="97"/>
        <v>0</v>
      </c>
      <c r="G117" s="140">
        <f t="shared" si="97"/>
        <v>0</v>
      </c>
      <c r="H117" s="140">
        <f t="shared" si="97"/>
        <v>0</v>
      </c>
    </row>
    <row r="118" spans="1:9" ht="15.75" customHeight="1">
      <c r="A118" s="140">
        <f t="shared" si="78"/>
        <v>0</v>
      </c>
      <c r="B118" s="140">
        <f t="shared" si="90"/>
        <v>0</v>
      </c>
      <c r="C118" s="140">
        <f t="shared" si="81"/>
        <v>0</v>
      </c>
      <c r="D118" s="140">
        <f t="shared" ref="D118:H118" si="98">(C118/C$100)*D$100</f>
        <v>0</v>
      </c>
      <c r="E118" s="140">
        <f t="shared" si="98"/>
        <v>0</v>
      </c>
      <c r="F118" s="140">
        <f t="shared" si="98"/>
        <v>0</v>
      </c>
      <c r="G118" s="140">
        <f t="shared" si="98"/>
        <v>0</v>
      </c>
      <c r="H118" s="140">
        <f t="shared" si="98"/>
        <v>0</v>
      </c>
    </row>
    <row r="119" spans="1:9" ht="15.75" customHeight="1">
      <c r="A119" s="140">
        <f t="shared" si="78"/>
        <v>0</v>
      </c>
      <c r="B119" s="140">
        <f t="shared" ref="B119:B126" si="99">D33*$B$100</f>
        <v>0</v>
      </c>
      <c r="C119" s="140">
        <f t="shared" si="81"/>
        <v>0</v>
      </c>
      <c r="D119" s="140">
        <f t="shared" ref="D119:H119" si="100">(C119/C$100)*D$100</f>
        <v>0</v>
      </c>
      <c r="E119" s="140">
        <f t="shared" si="100"/>
        <v>0</v>
      </c>
      <c r="F119" s="140">
        <f t="shared" si="100"/>
        <v>0</v>
      </c>
      <c r="G119" s="140">
        <f t="shared" si="100"/>
        <v>0</v>
      </c>
      <c r="H119" s="140">
        <f t="shared" si="100"/>
        <v>0</v>
      </c>
    </row>
    <row r="120" spans="1:9" ht="15.75" customHeight="1">
      <c r="A120" s="140">
        <f t="shared" si="78"/>
        <v>0</v>
      </c>
      <c r="B120" s="140">
        <f t="shared" si="99"/>
        <v>0</v>
      </c>
      <c r="C120" s="140">
        <f t="shared" si="81"/>
        <v>0</v>
      </c>
      <c r="D120" s="140">
        <f t="shared" ref="D120:H120" si="101">(C120/C$100)*D$100</f>
        <v>0</v>
      </c>
      <c r="E120" s="140">
        <f t="shared" si="101"/>
        <v>0</v>
      </c>
      <c r="F120" s="140">
        <f t="shared" si="101"/>
        <v>0</v>
      </c>
      <c r="G120" s="140">
        <f t="shared" si="101"/>
        <v>0</v>
      </c>
      <c r="H120" s="140">
        <f t="shared" si="101"/>
        <v>0</v>
      </c>
    </row>
    <row r="121" spans="1:9" ht="15.75" customHeight="1">
      <c r="A121" s="140">
        <f t="shared" si="78"/>
        <v>0</v>
      </c>
      <c r="B121" s="140">
        <f t="shared" si="99"/>
        <v>0</v>
      </c>
      <c r="C121" s="140">
        <f t="shared" si="81"/>
        <v>0</v>
      </c>
      <c r="D121" s="140">
        <f t="shared" ref="D121:H121" si="102">(C121/C$100)*D$100</f>
        <v>0</v>
      </c>
      <c r="E121" s="140">
        <f t="shared" si="102"/>
        <v>0</v>
      </c>
      <c r="F121" s="140">
        <f t="shared" si="102"/>
        <v>0</v>
      </c>
      <c r="G121" s="140">
        <f t="shared" si="102"/>
        <v>0</v>
      </c>
      <c r="H121" s="140">
        <f t="shared" si="102"/>
        <v>0</v>
      </c>
    </row>
    <row r="122" spans="1:9" ht="15.75" customHeight="1">
      <c r="A122" s="140">
        <f t="shared" si="78"/>
        <v>0</v>
      </c>
      <c r="B122" s="140">
        <f t="shared" si="99"/>
        <v>0</v>
      </c>
      <c r="C122" s="140">
        <f t="shared" si="81"/>
        <v>0</v>
      </c>
      <c r="D122" s="140">
        <f t="shared" ref="D122:H122" si="103">(C122/C$100)*D$100</f>
        <v>0</v>
      </c>
      <c r="E122" s="140">
        <f t="shared" si="103"/>
        <v>0</v>
      </c>
      <c r="F122" s="140">
        <f t="shared" si="103"/>
        <v>0</v>
      </c>
      <c r="G122" s="140">
        <f t="shared" si="103"/>
        <v>0</v>
      </c>
      <c r="H122" s="140">
        <f t="shared" si="103"/>
        <v>0</v>
      </c>
    </row>
    <row r="123" spans="1:9" ht="15.75" customHeight="1">
      <c r="A123" s="140" t="str">
        <f t="shared" si="78"/>
        <v>Pomegranate</v>
      </c>
      <c r="B123" s="140">
        <f t="shared" si="99"/>
        <v>0</v>
      </c>
      <c r="C123" s="140">
        <f t="shared" si="81"/>
        <v>0</v>
      </c>
      <c r="D123" s="140">
        <f t="shared" ref="D123:H123" si="104">(C123/C$100)*D$100</f>
        <v>0</v>
      </c>
      <c r="E123" s="140">
        <f t="shared" si="104"/>
        <v>0</v>
      </c>
      <c r="F123" s="140">
        <f t="shared" si="104"/>
        <v>0</v>
      </c>
      <c r="G123" s="140">
        <f t="shared" si="104"/>
        <v>0</v>
      </c>
      <c r="H123" s="140">
        <f t="shared" si="104"/>
        <v>0</v>
      </c>
    </row>
    <row r="124" spans="1:9" ht="15.75" customHeight="1">
      <c r="A124" s="140" t="str">
        <f t="shared" si="78"/>
        <v>Custard Apple</v>
      </c>
      <c r="B124" s="140">
        <f t="shared" si="99"/>
        <v>0</v>
      </c>
      <c r="C124" s="140">
        <f t="shared" si="81"/>
        <v>0</v>
      </c>
      <c r="D124" s="140">
        <f t="shared" ref="D124:H124" si="105">(C124/C$100)*D$100</f>
        <v>0</v>
      </c>
      <c r="E124" s="140">
        <f t="shared" si="105"/>
        <v>0</v>
      </c>
      <c r="F124" s="140">
        <f t="shared" si="105"/>
        <v>0</v>
      </c>
      <c r="G124" s="140">
        <f t="shared" si="105"/>
        <v>0</v>
      </c>
      <c r="H124" s="140">
        <f t="shared" si="105"/>
        <v>0</v>
      </c>
    </row>
    <row r="125" spans="1:9" ht="15.75" customHeight="1">
      <c r="A125" s="140" t="str">
        <f t="shared" si="78"/>
        <v>Guava</v>
      </c>
      <c r="B125" s="140">
        <f t="shared" si="99"/>
        <v>0</v>
      </c>
      <c r="C125" s="140">
        <f t="shared" si="81"/>
        <v>0</v>
      </c>
      <c r="D125" s="140">
        <f t="shared" ref="D125:H125" si="106">(C125/C$100)*D$100</f>
        <v>0</v>
      </c>
      <c r="E125" s="140">
        <f t="shared" si="106"/>
        <v>0</v>
      </c>
      <c r="F125" s="140">
        <f t="shared" si="106"/>
        <v>0</v>
      </c>
      <c r="G125" s="140">
        <f t="shared" si="106"/>
        <v>0</v>
      </c>
      <c r="H125" s="140">
        <f t="shared" si="106"/>
        <v>0</v>
      </c>
    </row>
    <row r="126" spans="1:9" ht="15.75" customHeight="1">
      <c r="A126" s="140" t="str">
        <f t="shared" si="78"/>
        <v>Citrus</v>
      </c>
      <c r="B126" s="140">
        <f t="shared" si="99"/>
        <v>0</v>
      </c>
      <c r="C126" s="140">
        <f t="shared" si="81"/>
        <v>0</v>
      </c>
      <c r="D126" s="140">
        <f t="shared" ref="D126:H126" si="107">(C126/C$100)*D$100</f>
        <v>0</v>
      </c>
      <c r="E126" s="140">
        <f t="shared" si="107"/>
        <v>0</v>
      </c>
      <c r="F126" s="140">
        <f t="shared" si="107"/>
        <v>0</v>
      </c>
      <c r="G126" s="140">
        <f t="shared" si="107"/>
        <v>0</v>
      </c>
      <c r="H126" s="140">
        <f t="shared" si="107"/>
        <v>0</v>
      </c>
    </row>
    <row r="127" spans="1:9" ht="15.75" customHeight="1"/>
    <row r="128" spans="1:9" ht="15.75" customHeight="1">
      <c r="C128" s="159"/>
      <c r="D128" s="212"/>
      <c r="E128" s="212"/>
      <c r="F128" s="212"/>
      <c r="G128" s="212"/>
      <c r="H128" s="212"/>
      <c r="I128" s="212"/>
    </row>
    <row r="129" spans="1:9" ht="15.75" customHeight="1">
      <c r="A129" t="s">
        <v>543</v>
      </c>
      <c r="C129" s="48"/>
      <c r="D129" s="48"/>
      <c r="E129" s="48"/>
      <c r="F129" s="48"/>
      <c r="G129" s="48"/>
      <c r="H129" s="48"/>
      <c r="I129" s="48"/>
    </row>
    <row r="130" spans="1:9" ht="15.75" customHeight="1">
      <c r="A130">
        <v>1</v>
      </c>
      <c r="B130" t="s">
        <v>567</v>
      </c>
    </row>
    <row r="131" spans="1:9" ht="15.75" customHeight="1">
      <c r="A131">
        <v>2</v>
      </c>
      <c r="B131" t="s">
        <v>568</v>
      </c>
    </row>
    <row r="132" spans="1:9" ht="15.75" customHeight="1">
      <c r="A132">
        <v>3</v>
      </c>
      <c r="B132" t="s">
        <v>544</v>
      </c>
    </row>
  </sheetData>
  <mergeCells count="13">
    <mergeCell ref="A100:A101"/>
    <mergeCell ref="A37:A40"/>
    <mergeCell ref="A1:H1"/>
    <mergeCell ref="A44:A45"/>
    <mergeCell ref="A71:H71"/>
    <mergeCell ref="A72:A73"/>
    <mergeCell ref="A99:H99"/>
    <mergeCell ref="A3:B3"/>
    <mergeCell ref="A11:H11"/>
    <mergeCell ref="A14:A22"/>
    <mergeCell ref="A24:A31"/>
    <mergeCell ref="A43:H43"/>
    <mergeCell ref="A41:H41"/>
  </mergeCells>
  <pageMargins left="0.7" right="0.7" top="0.75" bottom="0.75" header="0" footer="0"/>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opLeftCell="A226" workbookViewId="0">
      <selection activeCell="C235" sqref="C235"/>
    </sheetView>
  </sheetViews>
  <sheetFormatPr defaultColWidth="14.42578125" defaultRowHeight="15" customHeight="1"/>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2" max="12" width="8.7109375" customWidth="1"/>
    <col min="13" max="13" width="22.85546875" customWidth="1"/>
    <col min="14" max="14" width="12.85546875" customWidth="1"/>
    <col min="15" max="20" width="8.7109375" customWidth="1"/>
  </cols>
  <sheetData>
    <row r="2" spans="1:8" ht="18.75">
      <c r="A2" s="394" t="s">
        <v>569</v>
      </c>
      <c r="B2" s="378"/>
      <c r="C2" s="378"/>
      <c r="D2" s="378"/>
      <c r="E2" s="378"/>
      <c r="F2" s="378"/>
      <c r="G2" s="378"/>
      <c r="H2" s="378"/>
    </row>
    <row r="3" spans="1:8" ht="18.75">
      <c r="A3" s="394" t="s">
        <v>570</v>
      </c>
      <c r="B3" s="378"/>
      <c r="C3" s="378"/>
      <c r="D3" s="378"/>
      <c r="E3" s="378"/>
      <c r="F3" s="378"/>
      <c r="G3" s="378"/>
      <c r="H3" s="378"/>
    </row>
    <row r="4" spans="1:8">
      <c r="B4" s="73"/>
      <c r="C4" s="73"/>
      <c r="D4" s="73"/>
      <c r="E4" s="73"/>
      <c r="F4" s="396" t="s">
        <v>571</v>
      </c>
      <c r="G4" s="378"/>
      <c r="H4" s="378"/>
    </row>
    <row r="5" spans="1:8">
      <c r="A5" s="73" t="s">
        <v>129</v>
      </c>
      <c r="B5" s="264">
        <v>12</v>
      </c>
      <c r="C5" s="73" t="s">
        <v>572</v>
      </c>
      <c r="D5" s="73"/>
      <c r="E5" s="73"/>
      <c r="F5" s="242" t="s">
        <v>573</v>
      </c>
      <c r="G5" s="242" t="s">
        <v>574</v>
      </c>
      <c r="H5" s="73"/>
    </row>
    <row r="6" spans="1:8">
      <c r="A6" s="73" t="s">
        <v>575</v>
      </c>
      <c r="B6" s="122">
        <v>3</v>
      </c>
      <c r="C6" s="73"/>
      <c r="D6" s="73"/>
      <c r="E6" s="73"/>
      <c r="F6" s="140" t="s">
        <v>576</v>
      </c>
      <c r="G6" s="265">
        <v>0.03</v>
      </c>
      <c r="H6" s="73"/>
    </row>
    <row r="7" spans="1:8">
      <c r="A7" s="73"/>
      <c r="B7" s="73"/>
      <c r="C7" s="73"/>
      <c r="D7" s="73"/>
      <c r="E7" s="73"/>
      <c r="F7" s="140" t="s">
        <v>577</v>
      </c>
      <c r="G7" s="265">
        <v>0.05</v>
      </c>
      <c r="H7" s="73"/>
    </row>
    <row r="8" spans="1:8">
      <c r="A8" s="73" t="s">
        <v>578</v>
      </c>
      <c r="B8" s="73">
        <v>300</v>
      </c>
      <c r="C8" s="73"/>
      <c r="D8" s="73"/>
      <c r="E8" s="73"/>
      <c r="F8" s="140"/>
      <c r="G8" s="265"/>
      <c r="H8" s="73"/>
    </row>
    <row r="9" spans="1:8">
      <c r="A9" s="76" t="s">
        <v>150</v>
      </c>
      <c r="B9" s="77" t="s">
        <v>153</v>
      </c>
      <c r="C9" s="77" t="s">
        <v>154</v>
      </c>
      <c r="D9" s="77" t="s">
        <v>155</v>
      </c>
      <c r="E9" s="77" t="s">
        <v>156</v>
      </c>
      <c r="F9" s="77" t="s">
        <v>157</v>
      </c>
      <c r="G9" s="77" t="s">
        <v>158</v>
      </c>
      <c r="H9" s="77" t="s">
        <v>159</v>
      </c>
    </row>
    <row r="10" spans="1:8">
      <c r="A10" s="78" t="s">
        <v>579</v>
      </c>
      <c r="B10" s="236">
        <f t="shared" ref="B10:H10" si="0">B33/($B$5*$B$6)</f>
        <v>230.55555555555554</v>
      </c>
      <c r="C10" s="236">
        <f t="shared" si="0"/>
        <v>230.55555555555554</v>
      </c>
      <c r="D10" s="236">
        <f t="shared" si="0"/>
        <v>230.55555555555554</v>
      </c>
      <c r="E10" s="236">
        <f t="shared" si="0"/>
        <v>230.55555555555554</v>
      </c>
      <c r="F10" s="236">
        <f t="shared" si="0"/>
        <v>230.55555555555554</v>
      </c>
      <c r="G10" s="236">
        <f t="shared" si="0"/>
        <v>230.55555555555554</v>
      </c>
      <c r="H10" s="236">
        <f t="shared" si="0"/>
        <v>230.55555555555554</v>
      </c>
    </row>
    <row r="11" spans="1:8">
      <c r="A11" s="266" t="str">
        <f>'10.Grain Production details'!A42</f>
        <v>Soybean</v>
      </c>
      <c r="B11" s="266">
        <f>'10.Grain Production details'!B42</f>
        <v>0</v>
      </c>
      <c r="C11" s="266">
        <f>'10.Grain Production details'!C42</f>
        <v>0</v>
      </c>
      <c r="D11" s="266">
        <f>'10.Grain Production details'!D42</f>
        <v>0</v>
      </c>
      <c r="E11" s="266">
        <f>'10.Grain Production details'!E42</f>
        <v>0</v>
      </c>
      <c r="F11" s="266">
        <f>'10.Grain Production details'!F42</f>
        <v>0</v>
      </c>
      <c r="G11" s="266">
        <f>'10.Grain Production details'!G42</f>
        <v>0</v>
      </c>
      <c r="H11" s="266">
        <f>'10.Grain Production details'!H42</f>
        <v>0</v>
      </c>
    </row>
    <row r="12" spans="1:8">
      <c r="A12" s="266" t="str">
        <f>'10.Grain Production details'!A43</f>
        <v>Red Gram/Tur</v>
      </c>
      <c r="B12" s="266">
        <f>'10.Grain Production details'!B43</f>
        <v>5100</v>
      </c>
      <c r="C12" s="266">
        <f>'10.Grain Production details'!C43</f>
        <v>5100</v>
      </c>
      <c r="D12" s="266">
        <f>'10.Grain Production details'!D43</f>
        <v>5100</v>
      </c>
      <c r="E12" s="266">
        <f>'10.Grain Production details'!E43</f>
        <v>5100</v>
      </c>
      <c r="F12" s="266">
        <f>'10.Grain Production details'!F43</f>
        <v>5100</v>
      </c>
      <c r="G12" s="266">
        <f>'10.Grain Production details'!G43</f>
        <v>5100</v>
      </c>
      <c r="H12" s="266">
        <f>'10.Grain Production details'!H43</f>
        <v>5100</v>
      </c>
    </row>
    <row r="13" spans="1:8">
      <c r="A13" s="266" t="str">
        <f>'10.Grain Production details'!A44</f>
        <v>Paddy/Rice</v>
      </c>
      <c r="B13" s="266">
        <f>'10.Grain Production details'!B44</f>
        <v>0</v>
      </c>
      <c r="C13" s="266">
        <f>'10.Grain Production details'!C44</f>
        <v>0</v>
      </c>
      <c r="D13" s="266">
        <f>'10.Grain Production details'!D44</f>
        <v>0</v>
      </c>
      <c r="E13" s="266">
        <f>'10.Grain Production details'!E44</f>
        <v>0</v>
      </c>
      <c r="F13" s="266">
        <f>'10.Grain Production details'!F44</f>
        <v>0</v>
      </c>
      <c r="G13" s="266">
        <f>'10.Grain Production details'!G44</f>
        <v>0</v>
      </c>
      <c r="H13" s="266">
        <f>'10.Grain Production details'!H44</f>
        <v>0</v>
      </c>
    </row>
    <row r="14" spans="1:8">
      <c r="A14" s="266" t="str">
        <f>'10.Grain Production details'!A45</f>
        <v>Green Gram/ Moong</v>
      </c>
      <c r="B14" s="266">
        <f>'10.Grain Production details'!B45</f>
        <v>0</v>
      </c>
      <c r="C14" s="266">
        <f>'10.Grain Production details'!C45</f>
        <v>0</v>
      </c>
      <c r="D14" s="266">
        <f>'10.Grain Production details'!D45</f>
        <v>0</v>
      </c>
      <c r="E14" s="266">
        <f>'10.Grain Production details'!E45</f>
        <v>0</v>
      </c>
      <c r="F14" s="266">
        <f>'10.Grain Production details'!F45</f>
        <v>0</v>
      </c>
      <c r="G14" s="266">
        <f>'10.Grain Production details'!G45</f>
        <v>0</v>
      </c>
      <c r="H14" s="266">
        <f>'10.Grain Production details'!H45</f>
        <v>0</v>
      </c>
    </row>
    <row r="15" spans="1:8">
      <c r="A15" s="266" t="str">
        <f>'10.Grain Production details'!A46</f>
        <v>Maize</v>
      </c>
      <c r="B15" s="266">
        <f>'10.Grain Production details'!B46</f>
        <v>0</v>
      </c>
      <c r="C15" s="266">
        <f>'10.Grain Production details'!C46</f>
        <v>0</v>
      </c>
      <c r="D15" s="266">
        <f>'10.Grain Production details'!D46</f>
        <v>0</v>
      </c>
      <c r="E15" s="266">
        <f>'10.Grain Production details'!E46</f>
        <v>0</v>
      </c>
      <c r="F15" s="266">
        <f>'10.Grain Production details'!F46</f>
        <v>0</v>
      </c>
      <c r="G15" s="266">
        <f>'10.Grain Production details'!G46</f>
        <v>0</v>
      </c>
      <c r="H15" s="266">
        <f>'10.Grain Production details'!H46</f>
        <v>0</v>
      </c>
    </row>
    <row r="16" spans="1:8">
      <c r="A16" s="266" t="str">
        <f>'10.Grain Production details'!A47</f>
        <v>Black Gram/Udid</v>
      </c>
      <c r="B16" s="266">
        <f>'10.Grain Production details'!B47</f>
        <v>0</v>
      </c>
      <c r="C16" s="266">
        <f>'10.Grain Production details'!C47</f>
        <v>0</v>
      </c>
      <c r="D16" s="266">
        <f>'10.Grain Production details'!D47</f>
        <v>0</v>
      </c>
      <c r="E16" s="266">
        <f>'10.Grain Production details'!E47</f>
        <v>0</v>
      </c>
      <c r="F16" s="266">
        <f>'10.Grain Production details'!F47</f>
        <v>0</v>
      </c>
      <c r="G16" s="266">
        <f>'10.Grain Production details'!G47</f>
        <v>0</v>
      </c>
      <c r="H16" s="266">
        <f>'10.Grain Production details'!H47</f>
        <v>0</v>
      </c>
    </row>
    <row r="17" spans="1:8">
      <c r="A17" s="266" t="str">
        <f>'10.Grain Production details'!A48</f>
        <v>Bajra</v>
      </c>
      <c r="B17" s="266">
        <f>'10.Grain Production details'!B48</f>
        <v>0</v>
      </c>
      <c r="C17" s="266">
        <f>'10.Grain Production details'!C48</f>
        <v>0</v>
      </c>
      <c r="D17" s="266">
        <f>'10.Grain Production details'!D48</f>
        <v>0</v>
      </c>
      <c r="E17" s="266">
        <f>'10.Grain Production details'!E48</f>
        <v>0</v>
      </c>
      <c r="F17" s="266">
        <f>'10.Grain Production details'!F48</f>
        <v>0</v>
      </c>
      <c r="G17" s="266">
        <f>'10.Grain Production details'!G48</f>
        <v>0</v>
      </c>
      <c r="H17" s="266">
        <f>'10.Grain Production details'!H48</f>
        <v>0</v>
      </c>
    </row>
    <row r="18" spans="1:8">
      <c r="A18" s="266" t="str">
        <f>'10.Grain Production details'!A49</f>
        <v>Jawar</v>
      </c>
      <c r="B18" s="266">
        <f>'10.Grain Production details'!B49</f>
        <v>0</v>
      </c>
      <c r="C18" s="266">
        <f>'10.Grain Production details'!C49</f>
        <v>0</v>
      </c>
      <c r="D18" s="266">
        <f>'10.Grain Production details'!D49</f>
        <v>0</v>
      </c>
      <c r="E18" s="266">
        <f>'10.Grain Production details'!E49</f>
        <v>0</v>
      </c>
      <c r="F18" s="266">
        <f>'10.Grain Production details'!F49</f>
        <v>0</v>
      </c>
      <c r="G18" s="266">
        <f>'10.Grain Production details'!G49</f>
        <v>0</v>
      </c>
      <c r="H18" s="266">
        <f>'10.Grain Production details'!H49</f>
        <v>0</v>
      </c>
    </row>
    <row r="19" spans="1:8">
      <c r="A19" s="266" t="str">
        <f>'10.Grain Production details'!A50</f>
        <v>Sunflower</v>
      </c>
      <c r="B19" s="266">
        <f>'10.Grain Production details'!B50</f>
        <v>0</v>
      </c>
      <c r="C19" s="266">
        <f>'10.Grain Production details'!C50</f>
        <v>0</v>
      </c>
      <c r="D19" s="266">
        <f>'10.Grain Production details'!D50</f>
        <v>0</v>
      </c>
      <c r="E19" s="266">
        <f>'10.Grain Production details'!E50</f>
        <v>0</v>
      </c>
      <c r="F19" s="266">
        <f>'10.Grain Production details'!F50</f>
        <v>0</v>
      </c>
      <c r="G19" s="266">
        <f>'10.Grain Production details'!G50</f>
        <v>0</v>
      </c>
      <c r="H19" s="266">
        <f>'10.Grain Production details'!H50</f>
        <v>0</v>
      </c>
    </row>
    <row r="20" spans="1:8">
      <c r="A20" s="266" t="str">
        <f>'10.Grain Production details'!A51</f>
        <v>Wheat</v>
      </c>
      <c r="B20" s="266">
        <f>'10.Grain Production details'!B51</f>
        <v>0</v>
      </c>
      <c r="C20" s="266">
        <f>'10.Grain Production details'!C51</f>
        <v>0</v>
      </c>
      <c r="D20" s="266">
        <f>'10.Grain Production details'!D51</f>
        <v>0</v>
      </c>
      <c r="E20" s="266">
        <f>'10.Grain Production details'!E51</f>
        <v>0</v>
      </c>
      <c r="F20" s="266">
        <f>'10.Grain Production details'!F51</f>
        <v>0</v>
      </c>
      <c r="G20" s="266">
        <f>'10.Grain Production details'!G51</f>
        <v>0</v>
      </c>
      <c r="H20" s="266">
        <f>'10.Grain Production details'!H51</f>
        <v>0</v>
      </c>
    </row>
    <row r="21" spans="1:8" ht="15.75" customHeight="1">
      <c r="A21" s="266" t="str">
        <f>'10.Grain Production details'!A52</f>
        <v>Bengal Gram/Channa</v>
      </c>
      <c r="B21" s="266">
        <f>'10.Grain Production details'!B52</f>
        <v>3200</v>
      </c>
      <c r="C21" s="266">
        <f>'10.Grain Production details'!C52</f>
        <v>3200.0000000000005</v>
      </c>
      <c r="D21" s="266">
        <f>'10.Grain Production details'!D52</f>
        <v>3200.0000000000005</v>
      </c>
      <c r="E21" s="266">
        <f>'10.Grain Production details'!E52</f>
        <v>3200.0000000000005</v>
      </c>
      <c r="F21" s="266">
        <f>'10.Grain Production details'!F52</f>
        <v>3200.0000000000005</v>
      </c>
      <c r="G21" s="266">
        <f>'10.Grain Production details'!G52</f>
        <v>3200.0000000000005</v>
      </c>
      <c r="H21" s="266">
        <f>'10.Grain Production details'!H52</f>
        <v>3200.0000000000005</v>
      </c>
    </row>
    <row r="22" spans="1:8" ht="15.75" customHeight="1">
      <c r="A22" s="266" t="str">
        <f>'10.Grain Production details'!A53</f>
        <v>Jawar</v>
      </c>
      <c r="B22" s="266">
        <f>'10.Grain Production details'!B53</f>
        <v>0</v>
      </c>
      <c r="C22" s="266">
        <f>'10.Grain Production details'!C53</f>
        <v>0</v>
      </c>
      <c r="D22" s="266">
        <f>'10.Grain Production details'!D53</f>
        <v>0</v>
      </c>
      <c r="E22" s="266">
        <f>'10.Grain Production details'!E53</f>
        <v>0</v>
      </c>
      <c r="F22" s="266">
        <f>'10.Grain Production details'!F53</f>
        <v>0</v>
      </c>
      <c r="G22" s="266">
        <f>'10.Grain Production details'!G53</f>
        <v>0</v>
      </c>
      <c r="H22" s="266">
        <f>'10.Grain Production details'!H53</f>
        <v>0</v>
      </c>
    </row>
    <row r="23" spans="1:8" ht="15.75" customHeight="1">
      <c r="A23" s="266" t="str">
        <f>'10.Grain Production details'!A54</f>
        <v>Maize</v>
      </c>
      <c r="B23" s="266">
        <f>'10.Grain Production details'!B54</f>
        <v>0</v>
      </c>
      <c r="C23" s="266">
        <f>'10.Grain Production details'!C54</f>
        <v>0</v>
      </c>
      <c r="D23" s="266">
        <f>'10.Grain Production details'!D54</f>
        <v>0</v>
      </c>
      <c r="E23" s="266">
        <f>'10.Grain Production details'!E54</f>
        <v>0</v>
      </c>
      <c r="F23" s="266">
        <f>'10.Grain Production details'!F54</f>
        <v>0</v>
      </c>
      <c r="G23" s="266">
        <f>'10.Grain Production details'!G54</f>
        <v>0</v>
      </c>
      <c r="H23" s="266">
        <f>'10.Grain Production details'!H54</f>
        <v>0</v>
      </c>
    </row>
    <row r="24" spans="1:8" ht="15.75" customHeight="1">
      <c r="A24" s="266" t="str">
        <f>'10.Grain Production details'!A55</f>
        <v>Safflower</v>
      </c>
      <c r="B24" s="266">
        <f>'10.Grain Production details'!B55</f>
        <v>0</v>
      </c>
      <c r="C24" s="266">
        <f>'10.Grain Production details'!C55</f>
        <v>0</v>
      </c>
      <c r="D24" s="266">
        <f>'10.Grain Production details'!D55</f>
        <v>0</v>
      </c>
      <c r="E24" s="266">
        <f>'10.Grain Production details'!E55</f>
        <v>0</v>
      </c>
      <c r="F24" s="266">
        <f>'10.Grain Production details'!F55</f>
        <v>0</v>
      </c>
      <c r="G24" s="266">
        <f>'10.Grain Production details'!G55</f>
        <v>0</v>
      </c>
      <c r="H24" s="266">
        <f>'10.Grain Production details'!H55</f>
        <v>0</v>
      </c>
    </row>
    <row r="25" spans="1:8" ht="15.75" customHeight="1">
      <c r="A25" s="266">
        <f>'10.Grain Production details'!A56</f>
        <v>0</v>
      </c>
      <c r="B25" s="266">
        <f>'10.Grain Production details'!B56</f>
        <v>0</v>
      </c>
      <c r="C25" s="266">
        <f>'10.Grain Production details'!C56</f>
        <v>0</v>
      </c>
      <c r="D25" s="266">
        <f>'10.Grain Production details'!D56</f>
        <v>0</v>
      </c>
      <c r="E25" s="266">
        <f>'10.Grain Production details'!E56</f>
        <v>0</v>
      </c>
      <c r="F25" s="266">
        <f>'10.Grain Production details'!F56</f>
        <v>0</v>
      </c>
      <c r="G25" s="266">
        <f>'10.Grain Production details'!G56</f>
        <v>0</v>
      </c>
      <c r="H25" s="266">
        <f>'10.Grain Production details'!H56</f>
        <v>0</v>
      </c>
    </row>
    <row r="26" spans="1:8" ht="15.75" customHeight="1">
      <c r="A26" s="266">
        <f>'10.Grain Production details'!A57</f>
        <v>0</v>
      </c>
      <c r="B26" s="266">
        <f>'10.Grain Production details'!B57</f>
        <v>0</v>
      </c>
      <c r="C26" s="266">
        <f>'10.Grain Production details'!C57</f>
        <v>0</v>
      </c>
      <c r="D26" s="266">
        <f>'10.Grain Production details'!D57</f>
        <v>0</v>
      </c>
      <c r="E26" s="266">
        <f>'10.Grain Production details'!E57</f>
        <v>0</v>
      </c>
      <c r="F26" s="266">
        <f>'10.Grain Production details'!F57</f>
        <v>0</v>
      </c>
      <c r="G26" s="266">
        <f>'10.Grain Production details'!G57</f>
        <v>0</v>
      </c>
      <c r="H26" s="266">
        <f>'10.Grain Production details'!H57</f>
        <v>0</v>
      </c>
    </row>
    <row r="27" spans="1:8" ht="15.75" customHeight="1">
      <c r="A27" s="266">
        <f>'10.Grain Production details'!A58</f>
        <v>0</v>
      </c>
      <c r="B27" s="266">
        <f>'10.Grain Production details'!B58</f>
        <v>0</v>
      </c>
      <c r="C27" s="266">
        <f>'10.Grain Production details'!C58</f>
        <v>0</v>
      </c>
      <c r="D27" s="266">
        <f>'10.Grain Production details'!D58</f>
        <v>0</v>
      </c>
      <c r="E27" s="266">
        <f>'10.Grain Production details'!E58</f>
        <v>0</v>
      </c>
      <c r="F27" s="266">
        <f>'10.Grain Production details'!F58</f>
        <v>0</v>
      </c>
      <c r="G27" s="266">
        <f>'10.Grain Production details'!G58</f>
        <v>0</v>
      </c>
      <c r="H27" s="266">
        <f>'10.Grain Production details'!H58</f>
        <v>0</v>
      </c>
    </row>
    <row r="28" spans="1:8" ht="15.75" customHeight="1">
      <c r="A28" s="266" t="str">
        <f>'10.Grain Production details'!A59</f>
        <v>Groundnut</v>
      </c>
      <c r="B28" s="266">
        <f>'10.Grain Production details'!B59</f>
        <v>0</v>
      </c>
      <c r="C28" s="266">
        <f>'10.Grain Production details'!C59</f>
        <v>0</v>
      </c>
      <c r="D28" s="266">
        <f>'10.Grain Production details'!D59</f>
        <v>0</v>
      </c>
      <c r="E28" s="266">
        <f>'10.Grain Production details'!E59</f>
        <v>0</v>
      </c>
      <c r="F28" s="266">
        <f>'10.Grain Production details'!F59</f>
        <v>0</v>
      </c>
      <c r="G28" s="266">
        <f>'10.Grain Production details'!G59</f>
        <v>0</v>
      </c>
      <c r="H28" s="266">
        <f>'10.Grain Production details'!H59</f>
        <v>0</v>
      </c>
    </row>
    <row r="29" spans="1:8" ht="15.75" customHeight="1">
      <c r="A29" s="266">
        <f>'10.Grain Production details'!A60</f>
        <v>0</v>
      </c>
      <c r="B29" s="266">
        <f>'10.Grain Production details'!B60</f>
        <v>0</v>
      </c>
      <c r="C29" s="266">
        <f>'10.Grain Production details'!C60</f>
        <v>0</v>
      </c>
      <c r="D29" s="266">
        <f>'10.Grain Production details'!D60</f>
        <v>0</v>
      </c>
      <c r="E29" s="266">
        <f>'10.Grain Production details'!E60</f>
        <v>0</v>
      </c>
      <c r="F29" s="266">
        <f>'10.Grain Production details'!F60</f>
        <v>0</v>
      </c>
      <c r="G29" s="266">
        <f>'10.Grain Production details'!G60</f>
        <v>0</v>
      </c>
      <c r="H29" s="266">
        <f>'10.Grain Production details'!H60</f>
        <v>0</v>
      </c>
    </row>
    <row r="30" spans="1:8" ht="15.75" customHeight="1">
      <c r="A30" s="266">
        <f>'10.Grain Production details'!A61</f>
        <v>0</v>
      </c>
      <c r="B30" s="266">
        <f>'10.Grain Production details'!B61</f>
        <v>0</v>
      </c>
      <c r="C30" s="266">
        <f>'10.Grain Production details'!C61</f>
        <v>0</v>
      </c>
      <c r="D30" s="266">
        <f>'10.Grain Production details'!D61</f>
        <v>0</v>
      </c>
      <c r="E30" s="266">
        <f>'10.Grain Production details'!E61</f>
        <v>0</v>
      </c>
      <c r="F30" s="266">
        <f>'10.Grain Production details'!F61</f>
        <v>0</v>
      </c>
      <c r="G30" s="266">
        <f>'10.Grain Production details'!G61</f>
        <v>0</v>
      </c>
      <c r="H30" s="266">
        <f>'10.Grain Production details'!H61</f>
        <v>0</v>
      </c>
    </row>
    <row r="31" spans="1:8" ht="15.75" customHeight="1">
      <c r="A31" s="266">
        <f>'10.Grain Production details'!A62</f>
        <v>0</v>
      </c>
      <c r="B31" s="266">
        <f>'10.Grain Production details'!B62</f>
        <v>0</v>
      </c>
      <c r="C31" s="266">
        <f>'10.Grain Production details'!C62</f>
        <v>0</v>
      </c>
      <c r="D31" s="266">
        <f>'10.Grain Production details'!D62</f>
        <v>0</v>
      </c>
      <c r="E31" s="266">
        <f>'10.Grain Production details'!E62</f>
        <v>0</v>
      </c>
      <c r="F31" s="266">
        <f>'10.Grain Production details'!F62</f>
        <v>0</v>
      </c>
      <c r="G31" s="266">
        <f>'10.Grain Production details'!G62</f>
        <v>0</v>
      </c>
      <c r="H31" s="266">
        <f>'10.Grain Production details'!H62</f>
        <v>0</v>
      </c>
    </row>
    <row r="32" spans="1:8" ht="15.75" customHeight="1">
      <c r="A32" s="266">
        <f>'10.Grain Production details'!B63</f>
        <v>0</v>
      </c>
      <c r="B32" s="266">
        <f>'10.Grain Production details'!C63</f>
        <v>0</v>
      </c>
      <c r="C32" s="266">
        <f>'10.Grain Production details'!D63</f>
        <v>0</v>
      </c>
      <c r="D32" s="266">
        <f>'10.Grain Production details'!E63</f>
        <v>0</v>
      </c>
      <c r="E32" s="266">
        <f>'10.Grain Production details'!F63</f>
        <v>0</v>
      </c>
      <c r="F32" s="266">
        <f>'10.Grain Production details'!G63</f>
        <v>0</v>
      </c>
      <c r="G32" s="266">
        <f>'10.Grain Production details'!H63</f>
        <v>0</v>
      </c>
      <c r="H32" s="266">
        <f>'10.Grain Production details'!I63</f>
        <v>0</v>
      </c>
    </row>
    <row r="33" spans="1:8" ht="15.75" customHeight="1">
      <c r="A33" s="81" t="s">
        <v>580</v>
      </c>
      <c r="B33" s="266">
        <f t="shared" ref="B33:H33" si="1">SUM(B11:B32)</f>
        <v>8300</v>
      </c>
      <c r="C33" s="266">
        <f t="shared" si="1"/>
        <v>8300</v>
      </c>
      <c r="D33" s="266">
        <f t="shared" si="1"/>
        <v>8300</v>
      </c>
      <c r="E33" s="266">
        <f t="shared" si="1"/>
        <v>8300</v>
      </c>
      <c r="F33" s="266">
        <f t="shared" si="1"/>
        <v>8300</v>
      </c>
      <c r="G33" s="266">
        <f t="shared" si="1"/>
        <v>8300</v>
      </c>
      <c r="H33" s="266">
        <f t="shared" si="1"/>
        <v>8300</v>
      </c>
    </row>
    <row r="34" spans="1:8" ht="15.75" customHeight="1">
      <c r="A34" s="266" t="str">
        <f>'11.F&amp;V Crop Production details'!A1:H1</f>
        <v>Fruit  &amp; Vegetables Crop Production Details</v>
      </c>
      <c r="B34" s="266"/>
      <c r="C34" s="266"/>
      <c r="D34" s="266"/>
      <c r="E34" s="266"/>
      <c r="F34" s="266"/>
      <c r="G34" s="266"/>
      <c r="H34" s="266"/>
    </row>
    <row r="35" spans="1:8" ht="15.75" customHeight="1">
      <c r="A35" s="266" t="str">
        <f>'11.F&amp;V Crop Production details'!A46</f>
        <v>Onion</v>
      </c>
      <c r="B35" s="266">
        <f>'11.F&amp;V Crop Production details'!B46</f>
        <v>0</v>
      </c>
      <c r="C35" s="266">
        <f>'11.F&amp;V Crop Production details'!C46</f>
        <v>0</v>
      </c>
      <c r="D35" s="266">
        <f>'11.F&amp;V Crop Production details'!D46</f>
        <v>0</v>
      </c>
      <c r="E35" s="266">
        <f>'11.F&amp;V Crop Production details'!E46</f>
        <v>0</v>
      </c>
      <c r="F35" s="266">
        <f>'11.F&amp;V Crop Production details'!F46</f>
        <v>0</v>
      </c>
      <c r="G35" s="266">
        <f>'11.F&amp;V Crop Production details'!G46</f>
        <v>0</v>
      </c>
      <c r="H35" s="266">
        <f>'11.F&amp;V Crop Production details'!H46</f>
        <v>0</v>
      </c>
    </row>
    <row r="36" spans="1:8" ht="15.75" customHeight="1">
      <c r="A36" s="266" t="str">
        <f>'11.F&amp;V Crop Production details'!A47</f>
        <v>Tomato</v>
      </c>
      <c r="B36" s="266">
        <f>'11.F&amp;V Crop Production details'!B47</f>
        <v>0</v>
      </c>
      <c r="C36" s="266">
        <f>'11.F&amp;V Crop Production details'!C47</f>
        <v>0</v>
      </c>
      <c r="D36" s="266">
        <f>'11.F&amp;V Crop Production details'!D47</f>
        <v>0</v>
      </c>
      <c r="E36" s="266">
        <f>'11.F&amp;V Crop Production details'!E47</f>
        <v>0</v>
      </c>
      <c r="F36" s="266">
        <f>'11.F&amp;V Crop Production details'!F47</f>
        <v>0</v>
      </c>
      <c r="G36" s="266">
        <f>'11.F&amp;V Crop Production details'!G47</f>
        <v>0</v>
      </c>
      <c r="H36" s="266">
        <f>'11.F&amp;V Crop Production details'!H47</f>
        <v>0</v>
      </c>
    </row>
    <row r="37" spans="1:8" ht="15.75" customHeight="1">
      <c r="A37" s="266" t="str">
        <f>'11.F&amp;V Crop Production details'!A48</f>
        <v>Okra</v>
      </c>
      <c r="B37" s="266">
        <f>'11.F&amp;V Crop Production details'!B48</f>
        <v>0</v>
      </c>
      <c r="C37" s="266">
        <f>'11.F&amp;V Crop Production details'!C48</f>
        <v>0</v>
      </c>
      <c r="D37" s="266">
        <f>'11.F&amp;V Crop Production details'!D48</f>
        <v>0</v>
      </c>
      <c r="E37" s="266">
        <f>'11.F&amp;V Crop Production details'!E48</f>
        <v>0</v>
      </c>
      <c r="F37" s="266">
        <f>'11.F&amp;V Crop Production details'!F48</f>
        <v>0</v>
      </c>
      <c r="G37" s="266">
        <f>'11.F&amp;V Crop Production details'!G48</f>
        <v>0</v>
      </c>
      <c r="H37" s="266">
        <f>'11.F&amp;V Crop Production details'!H48</f>
        <v>0</v>
      </c>
    </row>
    <row r="38" spans="1:8" ht="15.75" customHeight="1">
      <c r="A38" s="266" t="str">
        <f>'11.F&amp;V Crop Production details'!A49</f>
        <v>Chilli</v>
      </c>
      <c r="B38" s="266">
        <f>'11.F&amp;V Crop Production details'!B49</f>
        <v>0</v>
      </c>
      <c r="C38" s="266">
        <f>'11.F&amp;V Crop Production details'!C49</f>
        <v>0</v>
      </c>
      <c r="D38" s="266">
        <f>'11.F&amp;V Crop Production details'!D49</f>
        <v>0</v>
      </c>
      <c r="E38" s="266">
        <f>'11.F&amp;V Crop Production details'!E49</f>
        <v>0</v>
      </c>
      <c r="F38" s="266">
        <f>'11.F&amp;V Crop Production details'!F49</f>
        <v>0</v>
      </c>
      <c r="G38" s="266">
        <f>'11.F&amp;V Crop Production details'!G49</f>
        <v>0</v>
      </c>
      <c r="H38" s="266">
        <f>'11.F&amp;V Crop Production details'!H49</f>
        <v>0</v>
      </c>
    </row>
    <row r="39" spans="1:8" ht="15.75" customHeight="1">
      <c r="A39" s="266" t="str">
        <f>'11.F&amp;V Crop Production details'!A50</f>
        <v>Potato</v>
      </c>
      <c r="B39" s="266">
        <f>'11.F&amp;V Crop Production details'!B50</f>
        <v>0</v>
      </c>
      <c r="C39" s="266">
        <f>'11.F&amp;V Crop Production details'!C50</f>
        <v>0</v>
      </c>
      <c r="D39" s="266">
        <f>'11.F&amp;V Crop Production details'!D50</f>
        <v>0</v>
      </c>
      <c r="E39" s="266">
        <f>'11.F&amp;V Crop Production details'!E50</f>
        <v>0</v>
      </c>
      <c r="F39" s="266">
        <f>'11.F&amp;V Crop Production details'!F50</f>
        <v>0</v>
      </c>
      <c r="G39" s="266">
        <f>'11.F&amp;V Crop Production details'!G50</f>
        <v>0</v>
      </c>
      <c r="H39" s="266">
        <f>'11.F&amp;V Crop Production details'!H50</f>
        <v>0</v>
      </c>
    </row>
    <row r="40" spans="1:8" ht="15.75" customHeight="1">
      <c r="A40" s="266">
        <f>'11.F&amp;V Crop Production details'!A51</f>
        <v>0</v>
      </c>
      <c r="B40" s="266">
        <f>'11.F&amp;V Crop Production details'!B51</f>
        <v>0</v>
      </c>
      <c r="C40" s="266">
        <f>'11.F&amp;V Crop Production details'!C51</f>
        <v>0</v>
      </c>
      <c r="D40" s="266">
        <f>'11.F&amp;V Crop Production details'!D51</f>
        <v>0</v>
      </c>
      <c r="E40" s="266">
        <f>'11.F&amp;V Crop Production details'!E51</f>
        <v>0</v>
      </c>
      <c r="F40" s="266">
        <f>'11.F&amp;V Crop Production details'!F51</f>
        <v>0</v>
      </c>
      <c r="G40" s="266">
        <f>'11.F&amp;V Crop Production details'!G51</f>
        <v>0</v>
      </c>
      <c r="H40" s="266">
        <f>'11.F&amp;V Crop Production details'!H51</f>
        <v>0</v>
      </c>
    </row>
    <row r="41" spans="1:8" ht="15.75" customHeight="1">
      <c r="A41" s="266">
        <f>'11.F&amp;V Crop Production details'!A52</f>
        <v>0</v>
      </c>
      <c r="B41" s="266">
        <f>'11.F&amp;V Crop Production details'!B52</f>
        <v>0</v>
      </c>
      <c r="C41" s="266">
        <f>'11.F&amp;V Crop Production details'!C52</f>
        <v>0</v>
      </c>
      <c r="D41" s="266">
        <f>'11.F&amp;V Crop Production details'!D52</f>
        <v>0</v>
      </c>
      <c r="E41" s="266">
        <f>'11.F&amp;V Crop Production details'!E52</f>
        <v>0</v>
      </c>
      <c r="F41" s="266">
        <f>'11.F&amp;V Crop Production details'!F52</f>
        <v>0</v>
      </c>
      <c r="G41" s="266">
        <f>'11.F&amp;V Crop Production details'!G52</f>
        <v>0</v>
      </c>
      <c r="H41" s="266">
        <f>'11.F&amp;V Crop Production details'!H52</f>
        <v>0</v>
      </c>
    </row>
    <row r="42" spans="1:8" ht="15.75" customHeight="1">
      <c r="A42" s="266">
        <f>'11.F&amp;V Crop Production details'!A53</f>
        <v>0</v>
      </c>
      <c r="B42" s="266">
        <f>'11.F&amp;V Crop Production details'!B53</f>
        <v>0</v>
      </c>
      <c r="C42" s="266">
        <f>'11.F&amp;V Crop Production details'!C53</f>
        <v>0</v>
      </c>
      <c r="D42" s="266">
        <f>'11.F&amp;V Crop Production details'!D53</f>
        <v>0</v>
      </c>
      <c r="E42" s="266">
        <f>'11.F&amp;V Crop Production details'!E53</f>
        <v>0</v>
      </c>
      <c r="F42" s="266">
        <f>'11.F&amp;V Crop Production details'!F53</f>
        <v>0</v>
      </c>
      <c r="G42" s="266">
        <f>'11.F&amp;V Crop Production details'!G53</f>
        <v>0</v>
      </c>
      <c r="H42" s="266">
        <f>'11.F&amp;V Crop Production details'!H53</f>
        <v>0</v>
      </c>
    </row>
    <row r="43" spans="1:8" ht="15.75" customHeight="1">
      <c r="A43" s="266">
        <f>'11.F&amp;V Crop Production details'!A54</f>
        <v>0</v>
      </c>
      <c r="B43" s="266">
        <f>'11.F&amp;V Crop Production details'!B54</f>
        <v>0</v>
      </c>
      <c r="C43" s="266">
        <f>'11.F&amp;V Crop Production details'!C54</f>
        <v>0</v>
      </c>
      <c r="D43" s="266">
        <f>'11.F&amp;V Crop Production details'!D54</f>
        <v>0</v>
      </c>
      <c r="E43" s="266">
        <f>'11.F&amp;V Crop Production details'!E54</f>
        <v>0</v>
      </c>
      <c r="F43" s="266">
        <f>'11.F&amp;V Crop Production details'!F54</f>
        <v>0</v>
      </c>
      <c r="G43" s="266">
        <f>'11.F&amp;V Crop Production details'!G54</f>
        <v>0</v>
      </c>
      <c r="H43" s="266">
        <f>'11.F&amp;V Crop Production details'!H54</f>
        <v>0</v>
      </c>
    </row>
    <row r="44" spans="1:8" ht="15.75" customHeight="1">
      <c r="A44" s="266" t="str">
        <f>'11.F&amp;V Crop Production details'!A55</f>
        <v>Onion</v>
      </c>
      <c r="B44" s="266">
        <f>'11.F&amp;V Crop Production details'!B55</f>
        <v>0</v>
      </c>
      <c r="C44" s="266">
        <f>'11.F&amp;V Crop Production details'!C55</f>
        <v>0</v>
      </c>
      <c r="D44" s="266">
        <f>'11.F&amp;V Crop Production details'!D55</f>
        <v>0</v>
      </c>
      <c r="E44" s="266">
        <f>'11.F&amp;V Crop Production details'!E55</f>
        <v>0</v>
      </c>
      <c r="F44" s="266">
        <f>'11.F&amp;V Crop Production details'!F55</f>
        <v>0</v>
      </c>
      <c r="G44" s="266">
        <f>'11.F&amp;V Crop Production details'!G55</f>
        <v>0</v>
      </c>
      <c r="H44" s="266">
        <f>'11.F&amp;V Crop Production details'!H55</f>
        <v>0</v>
      </c>
    </row>
    <row r="45" spans="1:8" ht="15.75" customHeight="1">
      <c r="A45" s="266" t="str">
        <f>'11.F&amp;V Crop Production details'!A56</f>
        <v>Tomato</v>
      </c>
      <c r="B45" s="266">
        <f>'11.F&amp;V Crop Production details'!B56</f>
        <v>0</v>
      </c>
      <c r="C45" s="266">
        <f>'11.F&amp;V Crop Production details'!C56</f>
        <v>0</v>
      </c>
      <c r="D45" s="266">
        <f>'11.F&amp;V Crop Production details'!D56</f>
        <v>0</v>
      </c>
      <c r="E45" s="266">
        <f>'11.F&amp;V Crop Production details'!E56</f>
        <v>0</v>
      </c>
      <c r="F45" s="266">
        <f>'11.F&amp;V Crop Production details'!F56</f>
        <v>0</v>
      </c>
      <c r="G45" s="266">
        <f>'11.F&amp;V Crop Production details'!G56</f>
        <v>0</v>
      </c>
      <c r="H45" s="266">
        <f>'11.F&amp;V Crop Production details'!H56</f>
        <v>0</v>
      </c>
    </row>
    <row r="46" spans="1:8" ht="15.75" customHeight="1">
      <c r="A46" s="266" t="str">
        <f>'11.F&amp;V Crop Production details'!A57</f>
        <v>Okra</v>
      </c>
      <c r="B46" s="266">
        <f>'11.F&amp;V Crop Production details'!B57</f>
        <v>0</v>
      </c>
      <c r="C46" s="266">
        <f>'11.F&amp;V Crop Production details'!C57</f>
        <v>0</v>
      </c>
      <c r="D46" s="266">
        <f>'11.F&amp;V Crop Production details'!D57</f>
        <v>0</v>
      </c>
      <c r="E46" s="266">
        <f>'11.F&amp;V Crop Production details'!E57</f>
        <v>0</v>
      </c>
      <c r="F46" s="266">
        <f>'11.F&amp;V Crop Production details'!F57</f>
        <v>0</v>
      </c>
      <c r="G46" s="266">
        <f>'11.F&amp;V Crop Production details'!G57</f>
        <v>0</v>
      </c>
      <c r="H46" s="266">
        <f>'11.F&amp;V Crop Production details'!H57</f>
        <v>0</v>
      </c>
    </row>
    <row r="47" spans="1:8" ht="15.75" customHeight="1">
      <c r="A47" s="266" t="str">
        <f>'11.F&amp;V Crop Production details'!A58</f>
        <v>Chilli</v>
      </c>
      <c r="B47" s="266">
        <f>'11.F&amp;V Crop Production details'!B58</f>
        <v>0</v>
      </c>
      <c r="C47" s="266">
        <f>'11.F&amp;V Crop Production details'!C58</f>
        <v>0</v>
      </c>
      <c r="D47" s="266">
        <f>'11.F&amp;V Crop Production details'!D58</f>
        <v>0</v>
      </c>
      <c r="E47" s="266">
        <f>'11.F&amp;V Crop Production details'!E58</f>
        <v>0</v>
      </c>
      <c r="F47" s="266">
        <f>'11.F&amp;V Crop Production details'!F58</f>
        <v>0</v>
      </c>
      <c r="G47" s="266">
        <f>'11.F&amp;V Crop Production details'!G58</f>
        <v>0</v>
      </c>
      <c r="H47" s="266">
        <f>'11.F&amp;V Crop Production details'!H58</f>
        <v>0</v>
      </c>
    </row>
    <row r="48" spans="1:8" ht="15.75" customHeight="1">
      <c r="A48" s="266" t="str">
        <f>'11.F&amp;V Crop Production details'!A59</f>
        <v>Brinjal</v>
      </c>
      <c r="B48" s="266">
        <f>'11.F&amp;V Crop Production details'!B59</f>
        <v>0</v>
      </c>
      <c r="C48" s="266">
        <f>'11.F&amp;V Crop Production details'!C59</f>
        <v>0</v>
      </c>
      <c r="D48" s="266">
        <f>'11.F&amp;V Crop Production details'!D59</f>
        <v>0</v>
      </c>
      <c r="E48" s="266">
        <f>'11.F&amp;V Crop Production details'!E59</f>
        <v>0</v>
      </c>
      <c r="F48" s="266">
        <f>'11.F&amp;V Crop Production details'!F59</f>
        <v>0</v>
      </c>
      <c r="G48" s="266">
        <f>'11.F&amp;V Crop Production details'!G59</f>
        <v>0</v>
      </c>
      <c r="H48" s="266">
        <f>'11.F&amp;V Crop Production details'!H59</f>
        <v>0</v>
      </c>
    </row>
    <row r="49" spans="1:8" ht="15.75" customHeight="1">
      <c r="A49" s="266">
        <f>'11.F&amp;V Crop Production details'!A60</f>
        <v>0</v>
      </c>
      <c r="B49" s="266">
        <f>'11.F&amp;V Crop Production details'!B60</f>
        <v>0</v>
      </c>
      <c r="C49" s="266">
        <f>'11.F&amp;V Crop Production details'!C60</f>
        <v>0</v>
      </c>
      <c r="D49" s="266">
        <f>'11.F&amp;V Crop Production details'!D60</f>
        <v>0</v>
      </c>
      <c r="E49" s="266">
        <f>'11.F&amp;V Crop Production details'!E60</f>
        <v>0</v>
      </c>
      <c r="F49" s="266">
        <f>'11.F&amp;V Crop Production details'!F60</f>
        <v>0</v>
      </c>
      <c r="G49" s="266">
        <f>'11.F&amp;V Crop Production details'!G60</f>
        <v>0</v>
      </c>
      <c r="H49" s="266">
        <f>'11.F&amp;V Crop Production details'!H60</f>
        <v>0</v>
      </c>
    </row>
    <row r="50" spans="1:8" ht="15.75" customHeight="1">
      <c r="A50" s="266">
        <f>'11.F&amp;V Crop Production details'!A61</f>
        <v>0</v>
      </c>
      <c r="B50" s="266">
        <f>'11.F&amp;V Crop Production details'!B61</f>
        <v>0</v>
      </c>
      <c r="C50" s="266">
        <f>'11.F&amp;V Crop Production details'!C61</f>
        <v>0</v>
      </c>
      <c r="D50" s="266">
        <f>'11.F&amp;V Crop Production details'!D61</f>
        <v>0</v>
      </c>
      <c r="E50" s="266">
        <f>'11.F&amp;V Crop Production details'!E61</f>
        <v>0</v>
      </c>
      <c r="F50" s="266">
        <f>'11.F&amp;V Crop Production details'!F61</f>
        <v>0</v>
      </c>
      <c r="G50" s="266">
        <f>'11.F&amp;V Crop Production details'!G61</f>
        <v>0</v>
      </c>
      <c r="H50" s="266">
        <f>'11.F&amp;V Crop Production details'!H61</f>
        <v>0</v>
      </c>
    </row>
    <row r="51" spans="1:8" ht="15.75" customHeight="1">
      <c r="A51" s="266">
        <f>'11.F&amp;V Crop Production details'!A62</f>
        <v>0</v>
      </c>
      <c r="B51" s="266">
        <f>'11.F&amp;V Crop Production details'!B62</f>
        <v>0</v>
      </c>
      <c r="C51" s="266">
        <f>'11.F&amp;V Crop Production details'!C62</f>
        <v>0</v>
      </c>
      <c r="D51" s="266">
        <f>'11.F&amp;V Crop Production details'!D62</f>
        <v>0</v>
      </c>
      <c r="E51" s="266">
        <f>'11.F&amp;V Crop Production details'!E62</f>
        <v>0</v>
      </c>
      <c r="F51" s="266">
        <f>'11.F&amp;V Crop Production details'!F62</f>
        <v>0</v>
      </c>
      <c r="G51" s="266">
        <f>'11.F&amp;V Crop Production details'!G62</f>
        <v>0</v>
      </c>
      <c r="H51" s="266">
        <f>'11.F&amp;V Crop Production details'!H62</f>
        <v>0</v>
      </c>
    </row>
    <row r="52" spans="1:8" ht="15.75" customHeight="1">
      <c r="A52" s="266">
        <f>'11.F&amp;V Crop Production details'!A63</f>
        <v>0</v>
      </c>
      <c r="B52" s="266">
        <f>'11.F&amp;V Crop Production details'!B63</f>
        <v>0</v>
      </c>
      <c r="C52" s="266">
        <f>'11.F&amp;V Crop Production details'!C63</f>
        <v>0</v>
      </c>
      <c r="D52" s="266">
        <f>'11.F&amp;V Crop Production details'!D63</f>
        <v>0</v>
      </c>
      <c r="E52" s="266">
        <f>'11.F&amp;V Crop Production details'!E63</f>
        <v>0</v>
      </c>
      <c r="F52" s="266">
        <f>'11.F&amp;V Crop Production details'!F63</f>
        <v>0</v>
      </c>
      <c r="G52" s="266">
        <f>'11.F&amp;V Crop Production details'!G63</f>
        <v>0</v>
      </c>
      <c r="H52" s="266">
        <f>'11.F&amp;V Crop Production details'!H63</f>
        <v>0</v>
      </c>
    </row>
    <row r="53" spans="1:8" ht="15.75" customHeight="1">
      <c r="A53" s="266">
        <f>'11.F&amp;V Crop Production details'!A64</f>
        <v>0</v>
      </c>
      <c r="B53" s="266"/>
      <c r="C53" s="266"/>
      <c r="D53" s="266"/>
      <c r="E53" s="266"/>
      <c r="F53" s="266"/>
      <c r="G53" s="266"/>
      <c r="H53" s="266"/>
    </row>
    <row r="54" spans="1:8" ht="15.75" customHeight="1">
      <c r="A54" s="266">
        <f>'11.F&amp;V Crop Production details'!A65</f>
        <v>0</v>
      </c>
      <c r="B54" s="266"/>
      <c r="C54" s="266"/>
      <c r="D54" s="266"/>
      <c r="E54" s="266"/>
      <c r="F54" s="266"/>
      <c r="G54" s="266"/>
      <c r="H54" s="266"/>
    </row>
    <row r="55" spans="1:8" ht="15.75" customHeight="1">
      <c r="A55" s="266">
        <f>'11.F&amp;V Crop Production details'!A66</f>
        <v>0</v>
      </c>
      <c r="B55" s="266"/>
      <c r="C55" s="266"/>
      <c r="D55" s="266"/>
      <c r="E55" s="266"/>
      <c r="F55" s="266"/>
      <c r="G55" s="266"/>
      <c r="H55" s="266"/>
    </row>
    <row r="56" spans="1:8" ht="15.75" customHeight="1">
      <c r="A56" s="266" t="str">
        <f>'11.F&amp;V Crop Production details'!A67</f>
        <v>Pomegranate</v>
      </c>
      <c r="B56" s="266">
        <f>'11.F&amp;V Crop Production details'!B67</f>
        <v>0</v>
      </c>
      <c r="C56" s="266">
        <f>'11.F&amp;V Crop Production details'!C67</f>
        <v>0</v>
      </c>
      <c r="D56" s="266">
        <f>'11.F&amp;V Crop Production details'!D67</f>
        <v>0</v>
      </c>
      <c r="E56" s="266">
        <f>'11.F&amp;V Crop Production details'!E67</f>
        <v>0</v>
      </c>
      <c r="F56" s="266">
        <f>'11.F&amp;V Crop Production details'!F67</f>
        <v>0</v>
      </c>
      <c r="G56" s="266">
        <f>'11.F&amp;V Crop Production details'!G67</f>
        <v>0</v>
      </c>
      <c r="H56" s="266">
        <f>'11.F&amp;V Crop Production details'!H67</f>
        <v>0</v>
      </c>
    </row>
    <row r="57" spans="1:8" ht="15.75" customHeight="1">
      <c r="A57" s="266" t="str">
        <f>'11.F&amp;V Crop Production details'!A68</f>
        <v>Custard Apple</v>
      </c>
      <c r="B57" s="266">
        <f>'11.F&amp;V Crop Production details'!B68</f>
        <v>0</v>
      </c>
      <c r="C57" s="266">
        <f>'11.F&amp;V Crop Production details'!C68</f>
        <v>0</v>
      </c>
      <c r="D57" s="266">
        <f>'11.F&amp;V Crop Production details'!D68</f>
        <v>0</v>
      </c>
      <c r="E57" s="266">
        <f>'11.F&amp;V Crop Production details'!E68</f>
        <v>0</v>
      </c>
      <c r="F57" s="266">
        <f>'11.F&amp;V Crop Production details'!F68</f>
        <v>0</v>
      </c>
      <c r="G57" s="266">
        <f>'11.F&amp;V Crop Production details'!G68</f>
        <v>0</v>
      </c>
      <c r="H57" s="266">
        <f>'11.F&amp;V Crop Production details'!H68</f>
        <v>0</v>
      </c>
    </row>
    <row r="58" spans="1:8" ht="15.75" customHeight="1">
      <c r="A58" s="266" t="str">
        <f>'11.F&amp;V Crop Production details'!A69</f>
        <v>Guava</v>
      </c>
      <c r="B58" s="266">
        <f>'11.F&amp;V Crop Production details'!B69</f>
        <v>0</v>
      </c>
      <c r="C58" s="266">
        <f>'11.F&amp;V Crop Production details'!C69</f>
        <v>0</v>
      </c>
      <c r="D58" s="266">
        <f>'11.F&amp;V Crop Production details'!D69</f>
        <v>0</v>
      </c>
      <c r="E58" s="266">
        <f>'11.F&amp;V Crop Production details'!E69</f>
        <v>0</v>
      </c>
      <c r="F58" s="266">
        <f>'11.F&amp;V Crop Production details'!F69</f>
        <v>0</v>
      </c>
      <c r="G58" s="266">
        <f>'11.F&amp;V Crop Production details'!G69</f>
        <v>0</v>
      </c>
      <c r="H58" s="266">
        <f>'11.F&amp;V Crop Production details'!H69</f>
        <v>0</v>
      </c>
    </row>
    <row r="59" spans="1:8" ht="15.75" customHeight="1">
      <c r="A59" s="266" t="str">
        <f>'11.F&amp;V Crop Production details'!A70</f>
        <v>Citrus</v>
      </c>
      <c r="B59" s="266">
        <f>'11.F&amp;V Crop Production details'!B70</f>
        <v>0</v>
      </c>
      <c r="C59" s="266">
        <f>'11.F&amp;V Crop Production details'!C70</f>
        <v>0</v>
      </c>
      <c r="D59" s="266">
        <f>'11.F&amp;V Crop Production details'!D70</f>
        <v>0</v>
      </c>
      <c r="E59" s="266">
        <f>'11.F&amp;V Crop Production details'!E70</f>
        <v>0</v>
      </c>
      <c r="F59" s="266">
        <f>'11.F&amp;V Crop Production details'!F70</f>
        <v>0</v>
      </c>
      <c r="G59" s="266">
        <f>'11.F&amp;V Crop Production details'!G70</f>
        <v>0</v>
      </c>
      <c r="H59" s="266">
        <f>'11.F&amp;V Crop Production details'!H70</f>
        <v>0</v>
      </c>
    </row>
    <row r="60" spans="1:8" ht="15.75" customHeight="1">
      <c r="A60" s="266"/>
      <c r="B60" s="266"/>
      <c r="C60" s="266"/>
      <c r="D60" s="266"/>
      <c r="E60" s="266"/>
      <c r="F60" s="266"/>
      <c r="G60" s="266"/>
      <c r="H60" s="266"/>
    </row>
    <row r="61" spans="1:8" ht="15.75" customHeight="1">
      <c r="A61" s="81" t="s">
        <v>581</v>
      </c>
      <c r="B61" s="266">
        <f t="shared" ref="B61:H61" si="2">SUM(B35:B59)</f>
        <v>0</v>
      </c>
      <c r="C61" s="266">
        <f t="shared" si="2"/>
        <v>0</v>
      </c>
      <c r="D61" s="266">
        <f t="shared" si="2"/>
        <v>0</v>
      </c>
      <c r="E61" s="266">
        <f t="shared" si="2"/>
        <v>0</v>
      </c>
      <c r="F61" s="266">
        <f t="shared" si="2"/>
        <v>0</v>
      </c>
      <c r="G61" s="266">
        <f t="shared" si="2"/>
        <v>0</v>
      </c>
      <c r="H61" s="266">
        <f t="shared" si="2"/>
        <v>0</v>
      </c>
    </row>
    <row r="62" spans="1:8" ht="15.75" customHeight="1">
      <c r="A62" s="267" t="s">
        <v>582</v>
      </c>
      <c r="B62" s="268">
        <v>0.5</v>
      </c>
      <c r="C62" s="268">
        <v>0.5</v>
      </c>
      <c r="D62" s="268">
        <v>0.5</v>
      </c>
      <c r="E62" s="268">
        <v>0.5</v>
      </c>
      <c r="F62" s="268">
        <v>0.5</v>
      </c>
      <c r="G62" s="268">
        <v>0.5</v>
      </c>
      <c r="H62" s="268">
        <v>0.5</v>
      </c>
    </row>
    <row r="63" spans="1:8" ht="15.75" customHeight="1">
      <c r="A63" s="267" t="s">
        <v>583</v>
      </c>
      <c r="B63" s="268">
        <v>1</v>
      </c>
      <c r="C63" s="268">
        <v>1</v>
      </c>
      <c r="D63" s="268">
        <v>1</v>
      </c>
      <c r="E63" s="268">
        <v>1</v>
      </c>
      <c r="F63" s="268">
        <v>1</v>
      </c>
      <c r="G63" s="268">
        <v>1</v>
      </c>
      <c r="H63" s="268">
        <v>1</v>
      </c>
    </row>
    <row r="64" spans="1:8" ht="15.75" customHeight="1">
      <c r="A64" s="267"/>
      <c r="B64" s="268"/>
      <c r="C64" s="268"/>
      <c r="D64" s="268"/>
      <c r="E64" s="268"/>
      <c r="F64" s="268"/>
      <c r="G64" s="268"/>
      <c r="H64" s="268"/>
    </row>
    <row r="65" spans="1:8" ht="15.75" customHeight="1">
      <c r="A65" s="267" t="s">
        <v>584</v>
      </c>
      <c r="B65" s="269">
        <f t="shared" ref="B65:H65" si="3">B33*B62</f>
        <v>4150</v>
      </c>
      <c r="C65" s="269">
        <f t="shared" si="3"/>
        <v>4150</v>
      </c>
      <c r="D65" s="269">
        <f t="shared" si="3"/>
        <v>4150</v>
      </c>
      <c r="E65" s="269">
        <f t="shared" si="3"/>
        <v>4150</v>
      </c>
      <c r="F65" s="269">
        <f t="shared" si="3"/>
        <v>4150</v>
      </c>
      <c r="G65" s="269">
        <f t="shared" si="3"/>
        <v>4150</v>
      </c>
      <c r="H65" s="269">
        <f t="shared" si="3"/>
        <v>4150</v>
      </c>
    </row>
    <row r="66" spans="1:8" ht="15.75" customHeight="1">
      <c r="A66" s="81"/>
      <c r="B66" s="266"/>
      <c r="C66" s="266"/>
      <c r="D66" s="266"/>
      <c r="E66" s="266"/>
      <c r="F66" s="266"/>
      <c r="G66" s="266"/>
      <c r="H66" s="266"/>
    </row>
    <row r="67" spans="1:8" ht="15.75" customHeight="1">
      <c r="A67" s="81" t="s">
        <v>585</v>
      </c>
      <c r="B67" s="266"/>
      <c r="C67" s="266"/>
      <c r="D67" s="266"/>
      <c r="E67" s="266"/>
      <c r="F67" s="266"/>
      <c r="G67" s="266"/>
      <c r="H67" s="266"/>
    </row>
    <row r="68" spans="1:8" ht="15.75" customHeight="1">
      <c r="A68" s="270" t="str">
        <f t="shared" ref="A68:A89" si="4">A11</f>
        <v>Soybean</v>
      </c>
      <c r="B68" s="270">
        <f t="shared" ref="B68:B89" si="5">B11*$B$63</f>
        <v>0</v>
      </c>
      <c r="C68" s="270">
        <f t="shared" ref="C68:C83" si="6">C11*$C$63</f>
        <v>0</v>
      </c>
      <c r="D68" s="270">
        <f t="shared" ref="D68:D83" si="7">D11*$D$63</f>
        <v>0</v>
      </c>
      <c r="E68" s="270">
        <f t="shared" ref="E68:E83" si="8">E11*$E$63</f>
        <v>0</v>
      </c>
      <c r="F68" s="270">
        <f t="shared" ref="F68:F83" si="9">F11*$F$63</f>
        <v>0</v>
      </c>
      <c r="G68" s="270">
        <f t="shared" ref="G68:G83" si="10">G11*$G$63</f>
        <v>0</v>
      </c>
      <c r="H68" s="270">
        <f t="shared" ref="H68:H83" si="11">H11*$H$63</f>
        <v>0</v>
      </c>
    </row>
    <row r="69" spans="1:8" ht="15.75" customHeight="1">
      <c r="A69" s="270" t="str">
        <f t="shared" si="4"/>
        <v>Red Gram/Tur</v>
      </c>
      <c r="B69" s="270">
        <f t="shared" si="5"/>
        <v>5100</v>
      </c>
      <c r="C69" s="270">
        <f t="shared" si="6"/>
        <v>5100</v>
      </c>
      <c r="D69" s="270">
        <f t="shared" si="7"/>
        <v>5100</v>
      </c>
      <c r="E69" s="270">
        <f t="shared" si="8"/>
        <v>5100</v>
      </c>
      <c r="F69" s="270">
        <f t="shared" si="9"/>
        <v>5100</v>
      </c>
      <c r="G69" s="270">
        <f t="shared" si="10"/>
        <v>5100</v>
      </c>
      <c r="H69" s="270">
        <f t="shared" si="11"/>
        <v>5100</v>
      </c>
    </row>
    <row r="70" spans="1:8" ht="15.75" customHeight="1">
      <c r="A70" s="270" t="str">
        <f t="shared" si="4"/>
        <v>Paddy/Rice</v>
      </c>
      <c r="B70" s="270">
        <f t="shared" si="5"/>
        <v>0</v>
      </c>
      <c r="C70" s="270">
        <f t="shared" si="6"/>
        <v>0</v>
      </c>
      <c r="D70" s="270">
        <f t="shared" si="7"/>
        <v>0</v>
      </c>
      <c r="E70" s="270">
        <f t="shared" si="8"/>
        <v>0</v>
      </c>
      <c r="F70" s="270">
        <f t="shared" si="9"/>
        <v>0</v>
      </c>
      <c r="G70" s="270">
        <f t="shared" si="10"/>
        <v>0</v>
      </c>
      <c r="H70" s="270">
        <f t="shared" si="11"/>
        <v>0</v>
      </c>
    </row>
    <row r="71" spans="1:8" ht="15.75" customHeight="1">
      <c r="A71" s="270" t="str">
        <f t="shared" si="4"/>
        <v>Green Gram/ Moong</v>
      </c>
      <c r="B71" s="270">
        <f t="shared" si="5"/>
        <v>0</v>
      </c>
      <c r="C71" s="270">
        <f t="shared" si="6"/>
        <v>0</v>
      </c>
      <c r="D71" s="270">
        <f t="shared" si="7"/>
        <v>0</v>
      </c>
      <c r="E71" s="270">
        <f t="shared" si="8"/>
        <v>0</v>
      </c>
      <c r="F71" s="270">
        <f t="shared" si="9"/>
        <v>0</v>
      </c>
      <c r="G71" s="270">
        <f t="shared" si="10"/>
        <v>0</v>
      </c>
      <c r="H71" s="270">
        <f t="shared" si="11"/>
        <v>0</v>
      </c>
    </row>
    <row r="72" spans="1:8" ht="15.75" customHeight="1">
      <c r="A72" s="270" t="str">
        <f t="shared" si="4"/>
        <v>Maize</v>
      </c>
      <c r="B72" s="270">
        <f t="shared" si="5"/>
        <v>0</v>
      </c>
      <c r="C72" s="270">
        <f t="shared" si="6"/>
        <v>0</v>
      </c>
      <c r="D72" s="270">
        <f t="shared" si="7"/>
        <v>0</v>
      </c>
      <c r="E72" s="270">
        <f t="shared" si="8"/>
        <v>0</v>
      </c>
      <c r="F72" s="270">
        <f t="shared" si="9"/>
        <v>0</v>
      </c>
      <c r="G72" s="270">
        <f t="shared" si="10"/>
        <v>0</v>
      </c>
      <c r="H72" s="270">
        <f t="shared" si="11"/>
        <v>0</v>
      </c>
    </row>
    <row r="73" spans="1:8" ht="15.75" customHeight="1">
      <c r="A73" s="270" t="str">
        <f t="shared" si="4"/>
        <v>Black Gram/Udid</v>
      </c>
      <c r="B73" s="270">
        <f t="shared" si="5"/>
        <v>0</v>
      </c>
      <c r="C73" s="270">
        <f t="shared" si="6"/>
        <v>0</v>
      </c>
      <c r="D73" s="270">
        <f t="shared" si="7"/>
        <v>0</v>
      </c>
      <c r="E73" s="270">
        <f t="shared" si="8"/>
        <v>0</v>
      </c>
      <c r="F73" s="270">
        <f t="shared" si="9"/>
        <v>0</v>
      </c>
      <c r="G73" s="270">
        <f t="shared" si="10"/>
        <v>0</v>
      </c>
      <c r="H73" s="270">
        <f t="shared" si="11"/>
        <v>0</v>
      </c>
    </row>
    <row r="74" spans="1:8" ht="15.75" customHeight="1">
      <c r="A74" s="270" t="str">
        <f t="shared" si="4"/>
        <v>Bajra</v>
      </c>
      <c r="B74" s="270">
        <f t="shared" si="5"/>
        <v>0</v>
      </c>
      <c r="C74" s="270">
        <f t="shared" si="6"/>
        <v>0</v>
      </c>
      <c r="D74" s="270">
        <f t="shared" si="7"/>
        <v>0</v>
      </c>
      <c r="E74" s="270">
        <f t="shared" si="8"/>
        <v>0</v>
      </c>
      <c r="F74" s="270">
        <f t="shared" si="9"/>
        <v>0</v>
      </c>
      <c r="G74" s="270">
        <f t="shared" si="10"/>
        <v>0</v>
      </c>
      <c r="H74" s="270">
        <f t="shared" si="11"/>
        <v>0</v>
      </c>
    </row>
    <row r="75" spans="1:8" ht="15.75" customHeight="1">
      <c r="A75" s="270" t="str">
        <f t="shared" si="4"/>
        <v>Jawar</v>
      </c>
      <c r="B75" s="270">
        <f t="shared" si="5"/>
        <v>0</v>
      </c>
      <c r="C75" s="270">
        <f t="shared" si="6"/>
        <v>0</v>
      </c>
      <c r="D75" s="270">
        <f t="shared" si="7"/>
        <v>0</v>
      </c>
      <c r="E75" s="270">
        <f t="shared" si="8"/>
        <v>0</v>
      </c>
      <c r="F75" s="270">
        <f t="shared" si="9"/>
        <v>0</v>
      </c>
      <c r="G75" s="270">
        <f t="shared" si="10"/>
        <v>0</v>
      </c>
      <c r="H75" s="270">
        <f t="shared" si="11"/>
        <v>0</v>
      </c>
    </row>
    <row r="76" spans="1:8" ht="15.75" customHeight="1">
      <c r="A76" s="270" t="str">
        <f t="shared" si="4"/>
        <v>Sunflower</v>
      </c>
      <c r="B76" s="270">
        <f t="shared" si="5"/>
        <v>0</v>
      </c>
      <c r="C76" s="270">
        <f t="shared" si="6"/>
        <v>0</v>
      </c>
      <c r="D76" s="270">
        <f t="shared" si="7"/>
        <v>0</v>
      </c>
      <c r="E76" s="270">
        <f t="shared" si="8"/>
        <v>0</v>
      </c>
      <c r="F76" s="270">
        <f t="shared" si="9"/>
        <v>0</v>
      </c>
      <c r="G76" s="270">
        <f t="shared" si="10"/>
        <v>0</v>
      </c>
      <c r="H76" s="270">
        <f t="shared" si="11"/>
        <v>0</v>
      </c>
    </row>
    <row r="77" spans="1:8" ht="15.75" customHeight="1">
      <c r="A77" s="270" t="str">
        <f t="shared" si="4"/>
        <v>Wheat</v>
      </c>
      <c r="B77" s="270">
        <f t="shared" si="5"/>
        <v>0</v>
      </c>
      <c r="C77" s="270">
        <f t="shared" si="6"/>
        <v>0</v>
      </c>
      <c r="D77" s="270">
        <f t="shared" si="7"/>
        <v>0</v>
      </c>
      <c r="E77" s="270">
        <f t="shared" si="8"/>
        <v>0</v>
      </c>
      <c r="F77" s="270">
        <f t="shared" si="9"/>
        <v>0</v>
      </c>
      <c r="G77" s="270">
        <f t="shared" si="10"/>
        <v>0</v>
      </c>
      <c r="H77" s="270">
        <f t="shared" si="11"/>
        <v>0</v>
      </c>
    </row>
    <row r="78" spans="1:8" ht="15.75" customHeight="1">
      <c r="A78" s="270" t="str">
        <f t="shared" si="4"/>
        <v>Bengal Gram/Channa</v>
      </c>
      <c r="B78" s="270">
        <f t="shared" si="5"/>
        <v>3200</v>
      </c>
      <c r="C78" s="270">
        <f t="shared" si="6"/>
        <v>3200.0000000000005</v>
      </c>
      <c r="D78" s="270">
        <f t="shared" si="7"/>
        <v>3200.0000000000005</v>
      </c>
      <c r="E78" s="270">
        <f t="shared" si="8"/>
        <v>3200.0000000000005</v>
      </c>
      <c r="F78" s="270">
        <f t="shared" si="9"/>
        <v>3200.0000000000005</v>
      </c>
      <c r="G78" s="270">
        <f t="shared" si="10"/>
        <v>3200.0000000000005</v>
      </c>
      <c r="H78" s="270">
        <f t="shared" si="11"/>
        <v>3200.0000000000005</v>
      </c>
    </row>
    <row r="79" spans="1:8" ht="15.75" customHeight="1">
      <c r="A79" s="270" t="str">
        <f t="shared" si="4"/>
        <v>Jawar</v>
      </c>
      <c r="B79" s="270">
        <f t="shared" si="5"/>
        <v>0</v>
      </c>
      <c r="C79" s="270">
        <f t="shared" si="6"/>
        <v>0</v>
      </c>
      <c r="D79" s="270">
        <f t="shared" si="7"/>
        <v>0</v>
      </c>
      <c r="E79" s="270">
        <f t="shared" si="8"/>
        <v>0</v>
      </c>
      <c r="F79" s="270">
        <f t="shared" si="9"/>
        <v>0</v>
      </c>
      <c r="G79" s="270">
        <f t="shared" si="10"/>
        <v>0</v>
      </c>
      <c r="H79" s="270">
        <f t="shared" si="11"/>
        <v>0</v>
      </c>
    </row>
    <row r="80" spans="1:8" ht="15.75" customHeight="1">
      <c r="A80" s="270" t="str">
        <f t="shared" si="4"/>
        <v>Maize</v>
      </c>
      <c r="B80" s="270">
        <f t="shared" si="5"/>
        <v>0</v>
      </c>
      <c r="C80" s="270">
        <f t="shared" si="6"/>
        <v>0</v>
      </c>
      <c r="D80" s="270">
        <f t="shared" si="7"/>
        <v>0</v>
      </c>
      <c r="E80" s="270">
        <f t="shared" si="8"/>
        <v>0</v>
      </c>
      <c r="F80" s="270">
        <f t="shared" si="9"/>
        <v>0</v>
      </c>
      <c r="G80" s="270">
        <f t="shared" si="10"/>
        <v>0</v>
      </c>
      <c r="H80" s="270">
        <f t="shared" si="11"/>
        <v>0</v>
      </c>
    </row>
    <row r="81" spans="1:12" ht="15.75" customHeight="1">
      <c r="A81" s="270" t="str">
        <f t="shared" si="4"/>
        <v>Safflower</v>
      </c>
      <c r="B81" s="270">
        <f t="shared" si="5"/>
        <v>0</v>
      </c>
      <c r="C81" s="270">
        <f t="shared" si="6"/>
        <v>0</v>
      </c>
      <c r="D81" s="270">
        <f t="shared" si="7"/>
        <v>0</v>
      </c>
      <c r="E81" s="270">
        <f t="shared" si="8"/>
        <v>0</v>
      </c>
      <c r="F81" s="270">
        <f t="shared" si="9"/>
        <v>0</v>
      </c>
      <c r="G81" s="270">
        <f t="shared" si="10"/>
        <v>0</v>
      </c>
      <c r="H81" s="270">
        <f t="shared" si="11"/>
        <v>0</v>
      </c>
    </row>
    <row r="82" spans="1:12" ht="15.75" customHeight="1">
      <c r="A82" s="270">
        <f t="shared" si="4"/>
        <v>0</v>
      </c>
      <c r="B82" s="270">
        <f t="shared" si="5"/>
        <v>0</v>
      </c>
      <c r="C82" s="270">
        <f t="shared" si="6"/>
        <v>0</v>
      </c>
      <c r="D82" s="270">
        <f t="shared" si="7"/>
        <v>0</v>
      </c>
      <c r="E82" s="270">
        <f t="shared" si="8"/>
        <v>0</v>
      </c>
      <c r="F82" s="270">
        <f t="shared" si="9"/>
        <v>0</v>
      </c>
      <c r="G82" s="270">
        <f t="shared" si="10"/>
        <v>0</v>
      </c>
      <c r="H82" s="270">
        <f t="shared" si="11"/>
        <v>0</v>
      </c>
    </row>
    <row r="83" spans="1:12" ht="15.75" customHeight="1">
      <c r="A83" s="270">
        <f t="shared" si="4"/>
        <v>0</v>
      </c>
      <c r="B83" s="270">
        <f t="shared" si="5"/>
        <v>0</v>
      </c>
      <c r="C83" s="270">
        <f t="shared" si="6"/>
        <v>0</v>
      </c>
      <c r="D83" s="270">
        <f t="shared" si="7"/>
        <v>0</v>
      </c>
      <c r="E83" s="270">
        <f t="shared" si="8"/>
        <v>0</v>
      </c>
      <c r="F83" s="270">
        <f t="shared" si="9"/>
        <v>0</v>
      </c>
      <c r="G83" s="270">
        <f t="shared" si="10"/>
        <v>0</v>
      </c>
      <c r="H83" s="270">
        <f t="shared" si="11"/>
        <v>0</v>
      </c>
    </row>
    <row r="84" spans="1:12" ht="15.75" customHeight="1">
      <c r="A84" s="270">
        <f t="shared" si="4"/>
        <v>0</v>
      </c>
      <c r="B84" s="270">
        <f t="shared" si="5"/>
        <v>0</v>
      </c>
      <c r="C84" s="270">
        <f t="shared" ref="C84:H84" si="12">C27*$B$63</f>
        <v>0</v>
      </c>
      <c r="D84" s="270">
        <f t="shared" si="12"/>
        <v>0</v>
      </c>
      <c r="E84" s="270">
        <f t="shared" si="12"/>
        <v>0</v>
      </c>
      <c r="F84" s="270">
        <f t="shared" si="12"/>
        <v>0</v>
      </c>
      <c r="G84" s="270">
        <f t="shared" si="12"/>
        <v>0</v>
      </c>
      <c r="H84" s="270">
        <f t="shared" si="12"/>
        <v>0</v>
      </c>
    </row>
    <row r="85" spans="1:12" ht="15.75" customHeight="1">
      <c r="A85" s="270" t="str">
        <f t="shared" si="4"/>
        <v>Groundnut</v>
      </c>
      <c r="B85" s="270">
        <f t="shared" si="5"/>
        <v>0</v>
      </c>
      <c r="C85" s="270">
        <f t="shared" ref="C85:H85" si="13">C28*$B$63</f>
        <v>0</v>
      </c>
      <c r="D85" s="270">
        <f t="shared" si="13"/>
        <v>0</v>
      </c>
      <c r="E85" s="270">
        <f t="shared" si="13"/>
        <v>0</v>
      </c>
      <c r="F85" s="270">
        <f t="shared" si="13"/>
        <v>0</v>
      </c>
      <c r="G85" s="270">
        <f t="shared" si="13"/>
        <v>0</v>
      </c>
      <c r="H85" s="270">
        <f t="shared" si="13"/>
        <v>0</v>
      </c>
    </row>
    <row r="86" spans="1:12" ht="15.75" customHeight="1">
      <c r="A86" s="270">
        <f t="shared" si="4"/>
        <v>0</v>
      </c>
      <c r="B86" s="270">
        <f t="shared" si="5"/>
        <v>0</v>
      </c>
      <c r="C86" s="270">
        <f t="shared" ref="C86:H86" si="14">C29*$B$63</f>
        <v>0</v>
      </c>
      <c r="D86" s="270">
        <f t="shared" si="14"/>
        <v>0</v>
      </c>
      <c r="E86" s="270">
        <f t="shared" si="14"/>
        <v>0</v>
      </c>
      <c r="F86" s="270">
        <f t="shared" si="14"/>
        <v>0</v>
      </c>
      <c r="G86" s="270">
        <f t="shared" si="14"/>
        <v>0</v>
      </c>
      <c r="H86" s="270">
        <f t="shared" si="14"/>
        <v>0</v>
      </c>
    </row>
    <row r="87" spans="1:12" ht="15.75" customHeight="1">
      <c r="A87" s="270">
        <f t="shared" si="4"/>
        <v>0</v>
      </c>
      <c r="B87" s="270">
        <f t="shared" si="5"/>
        <v>0</v>
      </c>
      <c r="C87" s="270">
        <f t="shared" ref="C87:H87" si="15">C30*$B$63</f>
        <v>0</v>
      </c>
      <c r="D87" s="270">
        <f t="shared" si="15"/>
        <v>0</v>
      </c>
      <c r="E87" s="270">
        <f t="shared" si="15"/>
        <v>0</v>
      </c>
      <c r="F87" s="270">
        <f t="shared" si="15"/>
        <v>0</v>
      </c>
      <c r="G87" s="270">
        <f t="shared" si="15"/>
        <v>0</v>
      </c>
      <c r="H87" s="270">
        <f t="shared" si="15"/>
        <v>0</v>
      </c>
    </row>
    <row r="88" spans="1:12" ht="15.75" customHeight="1">
      <c r="A88" s="270">
        <f t="shared" si="4"/>
        <v>0</v>
      </c>
      <c r="B88" s="270">
        <f t="shared" si="5"/>
        <v>0</v>
      </c>
      <c r="C88" s="270">
        <f t="shared" ref="C88:H88" si="16">C31*$B$63</f>
        <v>0</v>
      </c>
      <c r="D88" s="270">
        <f t="shared" si="16"/>
        <v>0</v>
      </c>
      <c r="E88" s="270">
        <f t="shared" si="16"/>
        <v>0</v>
      </c>
      <c r="F88" s="270">
        <f t="shared" si="16"/>
        <v>0</v>
      </c>
      <c r="G88" s="270">
        <f t="shared" si="16"/>
        <v>0</v>
      </c>
      <c r="H88" s="270">
        <f t="shared" si="16"/>
        <v>0</v>
      </c>
    </row>
    <row r="89" spans="1:12" ht="15.75" customHeight="1">
      <c r="A89" s="270">
        <f t="shared" si="4"/>
        <v>0</v>
      </c>
      <c r="B89" s="270">
        <f t="shared" si="5"/>
        <v>0</v>
      </c>
      <c r="C89" s="270">
        <f t="shared" ref="C89:H89" si="17">C32*$B$63</f>
        <v>0</v>
      </c>
      <c r="D89" s="270">
        <f t="shared" si="17"/>
        <v>0</v>
      </c>
      <c r="E89" s="270">
        <f t="shared" si="17"/>
        <v>0</v>
      </c>
      <c r="F89" s="270">
        <f t="shared" si="17"/>
        <v>0</v>
      </c>
      <c r="G89" s="270">
        <f t="shared" si="17"/>
        <v>0</v>
      </c>
      <c r="H89" s="270">
        <f t="shared" si="17"/>
        <v>0</v>
      </c>
    </row>
    <row r="90" spans="1:12" ht="15.75" customHeight="1">
      <c r="A90" s="78"/>
      <c r="B90" s="270"/>
      <c r="C90" s="270"/>
      <c r="D90" s="270"/>
      <c r="E90" s="270"/>
      <c r="F90" s="270"/>
      <c r="G90" s="270"/>
      <c r="H90" s="270"/>
      <c r="J90" s="48"/>
      <c r="K90" s="48"/>
      <c r="L90" s="48"/>
    </row>
    <row r="91" spans="1:12" ht="15.75" customHeight="1">
      <c r="A91" s="270" t="str">
        <f t="shared" ref="A91:A116" si="18">A34</f>
        <v>Fruit  &amp; Vegetables Crop Production Details</v>
      </c>
      <c r="B91" s="270"/>
      <c r="C91" s="270"/>
      <c r="D91" s="270"/>
      <c r="E91" s="270"/>
      <c r="F91" s="270"/>
      <c r="G91" s="270"/>
      <c r="H91" s="270"/>
      <c r="J91" s="48"/>
      <c r="K91" s="48"/>
      <c r="L91" s="48"/>
    </row>
    <row r="92" spans="1:12" ht="15.75" customHeight="1">
      <c r="A92" s="270" t="str">
        <f t="shared" si="18"/>
        <v>Onion</v>
      </c>
      <c r="B92" s="270">
        <f t="shared" ref="B92:H92" si="19">B35</f>
        <v>0</v>
      </c>
      <c r="C92" s="270">
        <f t="shared" si="19"/>
        <v>0</v>
      </c>
      <c r="D92" s="270">
        <f t="shared" si="19"/>
        <v>0</v>
      </c>
      <c r="E92" s="270">
        <f t="shared" si="19"/>
        <v>0</v>
      </c>
      <c r="F92" s="270">
        <f t="shared" si="19"/>
        <v>0</v>
      </c>
      <c r="G92" s="270">
        <f t="shared" si="19"/>
        <v>0</v>
      </c>
      <c r="H92" s="270">
        <f t="shared" si="19"/>
        <v>0</v>
      </c>
      <c r="J92" s="48"/>
      <c r="K92" s="48"/>
      <c r="L92" s="48"/>
    </row>
    <row r="93" spans="1:12" ht="15.75" customHeight="1">
      <c r="A93" s="270" t="str">
        <f t="shared" si="18"/>
        <v>Tomato</v>
      </c>
      <c r="B93" s="270">
        <f t="shared" ref="B93:H93" si="20">B36</f>
        <v>0</v>
      </c>
      <c r="C93" s="270">
        <f t="shared" si="20"/>
        <v>0</v>
      </c>
      <c r="D93" s="270">
        <f t="shared" si="20"/>
        <v>0</v>
      </c>
      <c r="E93" s="270">
        <f t="shared" si="20"/>
        <v>0</v>
      </c>
      <c r="F93" s="270">
        <f t="shared" si="20"/>
        <v>0</v>
      </c>
      <c r="G93" s="270">
        <f t="shared" si="20"/>
        <v>0</v>
      </c>
      <c r="H93" s="270">
        <f t="shared" si="20"/>
        <v>0</v>
      </c>
      <c r="J93" s="48"/>
      <c r="K93" s="48"/>
      <c r="L93" s="48"/>
    </row>
    <row r="94" spans="1:12" ht="15.75" customHeight="1">
      <c r="A94" s="270" t="str">
        <f t="shared" si="18"/>
        <v>Okra</v>
      </c>
      <c r="B94" s="270">
        <f t="shared" ref="B94:H94" si="21">B37</f>
        <v>0</v>
      </c>
      <c r="C94" s="270">
        <f t="shared" si="21"/>
        <v>0</v>
      </c>
      <c r="D94" s="270">
        <f t="shared" si="21"/>
        <v>0</v>
      </c>
      <c r="E94" s="270">
        <f t="shared" si="21"/>
        <v>0</v>
      </c>
      <c r="F94" s="270">
        <f t="shared" si="21"/>
        <v>0</v>
      </c>
      <c r="G94" s="270">
        <f t="shared" si="21"/>
        <v>0</v>
      </c>
      <c r="H94" s="270">
        <f t="shared" si="21"/>
        <v>0</v>
      </c>
      <c r="J94" s="48"/>
      <c r="K94" s="48"/>
      <c r="L94" s="48"/>
    </row>
    <row r="95" spans="1:12" ht="15.75" customHeight="1">
      <c r="A95" s="270" t="str">
        <f t="shared" si="18"/>
        <v>Chilli</v>
      </c>
      <c r="B95" s="270">
        <f t="shared" ref="B95:H95" si="22">B38</f>
        <v>0</v>
      </c>
      <c r="C95" s="270">
        <f t="shared" si="22"/>
        <v>0</v>
      </c>
      <c r="D95" s="270">
        <f t="shared" si="22"/>
        <v>0</v>
      </c>
      <c r="E95" s="270">
        <f t="shared" si="22"/>
        <v>0</v>
      </c>
      <c r="F95" s="270">
        <f t="shared" si="22"/>
        <v>0</v>
      </c>
      <c r="G95" s="270">
        <f t="shared" si="22"/>
        <v>0</v>
      </c>
      <c r="H95" s="270">
        <f t="shared" si="22"/>
        <v>0</v>
      </c>
      <c r="J95" s="48"/>
      <c r="K95" s="48"/>
      <c r="L95" s="48"/>
    </row>
    <row r="96" spans="1:12" ht="15.75" customHeight="1">
      <c r="A96" s="270" t="str">
        <f t="shared" si="18"/>
        <v>Potato</v>
      </c>
      <c r="B96" s="270">
        <f t="shared" ref="B96:H96" si="23">B39</f>
        <v>0</v>
      </c>
      <c r="C96" s="270">
        <f t="shared" si="23"/>
        <v>0</v>
      </c>
      <c r="D96" s="270">
        <f t="shared" si="23"/>
        <v>0</v>
      </c>
      <c r="E96" s="270">
        <f t="shared" si="23"/>
        <v>0</v>
      </c>
      <c r="F96" s="270">
        <f t="shared" si="23"/>
        <v>0</v>
      </c>
      <c r="G96" s="270">
        <f t="shared" si="23"/>
        <v>0</v>
      </c>
      <c r="H96" s="270">
        <f t="shared" si="23"/>
        <v>0</v>
      </c>
      <c r="J96" s="48"/>
      <c r="K96" s="48"/>
      <c r="L96" s="48"/>
    </row>
    <row r="97" spans="1:12" ht="15.75" customHeight="1">
      <c r="A97" s="270">
        <f t="shared" si="18"/>
        <v>0</v>
      </c>
      <c r="B97" s="270">
        <f t="shared" ref="B97:H97" si="24">B40</f>
        <v>0</v>
      </c>
      <c r="C97" s="270">
        <f t="shared" si="24"/>
        <v>0</v>
      </c>
      <c r="D97" s="270">
        <f t="shared" si="24"/>
        <v>0</v>
      </c>
      <c r="E97" s="270">
        <f t="shared" si="24"/>
        <v>0</v>
      </c>
      <c r="F97" s="270">
        <f t="shared" si="24"/>
        <v>0</v>
      </c>
      <c r="G97" s="270">
        <f t="shared" si="24"/>
        <v>0</v>
      </c>
      <c r="H97" s="270">
        <f t="shared" si="24"/>
        <v>0</v>
      </c>
      <c r="J97" s="48"/>
      <c r="K97" s="48"/>
      <c r="L97" s="48"/>
    </row>
    <row r="98" spans="1:12" ht="15.75" customHeight="1">
      <c r="A98" s="270">
        <f t="shared" si="18"/>
        <v>0</v>
      </c>
      <c r="B98" s="270">
        <f t="shared" ref="B98:H98" si="25">B41</f>
        <v>0</v>
      </c>
      <c r="C98" s="270">
        <f t="shared" si="25"/>
        <v>0</v>
      </c>
      <c r="D98" s="270">
        <f t="shared" si="25"/>
        <v>0</v>
      </c>
      <c r="E98" s="270">
        <f t="shared" si="25"/>
        <v>0</v>
      </c>
      <c r="F98" s="270">
        <f t="shared" si="25"/>
        <v>0</v>
      </c>
      <c r="G98" s="270">
        <f t="shared" si="25"/>
        <v>0</v>
      </c>
      <c r="H98" s="270">
        <f t="shared" si="25"/>
        <v>0</v>
      </c>
      <c r="J98" s="48"/>
      <c r="K98" s="48"/>
      <c r="L98" s="48"/>
    </row>
    <row r="99" spans="1:12" ht="15.75" customHeight="1">
      <c r="A99" s="270">
        <f t="shared" si="18"/>
        <v>0</v>
      </c>
      <c r="B99" s="270">
        <f t="shared" ref="B99:H99" si="26">B42</f>
        <v>0</v>
      </c>
      <c r="C99" s="270">
        <f t="shared" si="26"/>
        <v>0</v>
      </c>
      <c r="D99" s="270">
        <f t="shared" si="26"/>
        <v>0</v>
      </c>
      <c r="E99" s="270">
        <f t="shared" si="26"/>
        <v>0</v>
      </c>
      <c r="F99" s="270">
        <f t="shared" si="26"/>
        <v>0</v>
      </c>
      <c r="G99" s="270">
        <f t="shared" si="26"/>
        <v>0</v>
      </c>
      <c r="H99" s="270">
        <f t="shared" si="26"/>
        <v>0</v>
      </c>
      <c r="J99" s="48"/>
      <c r="K99" s="48"/>
      <c r="L99" s="48"/>
    </row>
    <row r="100" spans="1:12" ht="15.75" customHeight="1">
      <c r="A100" s="270">
        <f t="shared" si="18"/>
        <v>0</v>
      </c>
      <c r="B100" s="270">
        <f t="shared" ref="B100:H100" si="27">B43</f>
        <v>0</v>
      </c>
      <c r="C100" s="270">
        <f t="shared" si="27"/>
        <v>0</v>
      </c>
      <c r="D100" s="270">
        <f t="shared" si="27"/>
        <v>0</v>
      </c>
      <c r="E100" s="270">
        <f t="shared" si="27"/>
        <v>0</v>
      </c>
      <c r="F100" s="270">
        <f t="shared" si="27"/>
        <v>0</v>
      </c>
      <c r="G100" s="270">
        <f t="shared" si="27"/>
        <v>0</v>
      </c>
      <c r="H100" s="270">
        <f t="shared" si="27"/>
        <v>0</v>
      </c>
      <c r="J100" s="48"/>
      <c r="K100" s="48"/>
      <c r="L100" s="48"/>
    </row>
    <row r="101" spans="1:12" ht="15.75" customHeight="1">
      <c r="A101" s="270" t="str">
        <f t="shared" si="18"/>
        <v>Onion</v>
      </c>
      <c r="B101" s="270">
        <f t="shared" ref="B101:H101" si="28">B44</f>
        <v>0</v>
      </c>
      <c r="C101" s="270">
        <f t="shared" si="28"/>
        <v>0</v>
      </c>
      <c r="D101" s="270">
        <f t="shared" si="28"/>
        <v>0</v>
      </c>
      <c r="E101" s="270">
        <f t="shared" si="28"/>
        <v>0</v>
      </c>
      <c r="F101" s="270">
        <f t="shared" si="28"/>
        <v>0</v>
      </c>
      <c r="G101" s="270">
        <f t="shared" si="28"/>
        <v>0</v>
      </c>
      <c r="H101" s="270">
        <f t="shared" si="28"/>
        <v>0</v>
      </c>
      <c r="J101" s="48"/>
      <c r="K101" s="48"/>
      <c r="L101" s="48"/>
    </row>
    <row r="102" spans="1:12" ht="15.75" customHeight="1">
      <c r="A102" s="270" t="str">
        <f t="shared" si="18"/>
        <v>Tomato</v>
      </c>
      <c r="B102" s="270">
        <f t="shared" ref="B102:H102" si="29">B45</f>
        <v>0</v>
      </c>
      <c r="C102" s="270">
        <f t="shared" si="29"/>
        <v>0</v>
      </c>
      <c r="D102" s="270">
        <f t="shared" si="29"/>
        <v>0</v>
      </c>
      <c r="E102" s="270">
        <f t="shared" si="29"/>
        <v>0</v>
      </c>
      <c r="F102" s="270">
        <f t="shared" si="29"/>
        <v>0</v>
      </c>
      <c r="G102" s="270">
        <f t="shared" si="29"/>
        <v>0</v>
      </c>
      <c r="H102" s="270">
        <f t="shared" si="29"/>
        <v>0</v>
      </c>
      <c r="J102" s="48"/>
      <c r="K102" s="48"/>
      <c r="L102" s="48"/>
    </row>
    <row r="103" spans="1:12" ht="15.75" customHeight="1">
      <c r="A103" s="270" t="str">
        <f t="shared" si="18"/>
        <v>Okra</v>
      </c>
      <c r="B103" s="270">
        <f t="shared" ref="B103:H103" si="30">B46</f>
        <v>0</v>
      </c>
      <c r="C103" s="270">
        <f t="shared" si="30"/>
        <v>0</v>
      </c>
      <c r="D103" s="270">
        <f t="shared" si="30"/>
        <v>0</v>
      </c>
      <c r="E103" s="270">
        <f t="shared" si="30"/>
        <v>0</v>
      </c>
      <c r="F103" s="270">
        <f t="shared" si="30"/>
        <v>0</v>
      </c>
      <c r="G103" s="270">
        <f t="shared" si="30"/>
        <v>0</v>
      </c>
      <c r="H103" s="270">
        <f t="shared" si="30"/>
        <v>0</v>
      </c>
      <c r="J103" s="48"/>
      <c r="K103" s="48"/>
      <c r="L103" s="48"/>
    </row>
    <row r="104" spans="1:12" ht="15.75" customHeight="1">
      <c r="A104" s="270" t="str">
        <f t="shared" si="18"/>
        <v>Chilli</v>
      </c>
      <c r="B104" s="270">
        <f t="shared" ref="B104:H104" si="31">B47</f>
        <v>0</v>
      </c>
      <c r="C104" s="270">
        <f t="shared" si="31"/>
        <v>0</v>
      </c>
      <c r="D104" s="270">
        <f t="shared" si="31"/>
        <v>0</v>
      </c>
      <c r="E104" s="270">
        <f t="shared" si="31"/>
        <v>0</v>
      </c>
      <c r="F104" s="270">
        <f t="shared" si="31"/>
        <v>0</v>
      </c>
      <c r="G104" s="270">
        <f t="shared" si="31"/>
        <v>0</v>
      </c>
      <c r="H104" s="270">
        <f t="shared" si="31"/>
        <v>0</v>
      </c>
      <c r="J104" s="48"/>
      <c r="K104" s="48"/>
      <c r="L104" s="48"/>
    </row>
    <row r="105" spans="1:12" ht="15.75" customHeight="1">
      <c r="A105" s="270" t="str">
        <f t="shared" si="18"/>
        <v>Brinjal</v>
      </c>
      <c r="B105" s="270">
        <f t="shared" ref="B105:H105" si="32">B48</f>
        <v>0</v>
      </c>
      <c r="C105" s="270">
        <f t="shared" si="32"/>
        <v>0</v>
      </c>
      <c r="D105" s="270">
        <f t="shared" si="32"/>
        <v>0</v>
      </c>
      <c r="E105" s="270">
        <f t="shared" si="32"/>
        <v>0</v>
      </c>
      <c r="F105" s="270">
        <f t="shared" si="32"/>
        <v>0</v>
      </c>
      <c r="G105" s="270">
        <f t="shared" si="32"/>
        <v>0</v>
      </c>
      <c r="H105" s="270">
        <f t="shared" si="32"/>
        <v>0</v>
      </c>
      <c r="J105" s="48"/>
      <c r="K105" s="48"/>
      <c r="L105" s="48"/>
    </row>
    <row r="106" spans="1:12" ht="15.75" customHeight="1">
      <c r="A106" s="270">
        <f t="shared" si="18"/>
        <v>0</v>
      </c>
      <c r="B106" s="270">
        <f t="shared" ref="B106:H106" si="33">B49</f>
        <v>0</v>
      </c>
      <c r="C106" s="270">
        <f t="shared" si="33"/>
        <v>0</v>
      </c>
      <c r="D106" s="270">
        <f t="shared" si="33"/>
        <v>0</v>
      </c>
      <c r="E106" s="270">
        <f t="shared" si="33"/>
        <v>0</v>
      </c>
      <c r="F106" s="270">
        <f t="shared" si="33"/>
        <v>0</v>
      </c>
      <c r="G106" s="270">
        <f t="shared" si="33"/>
        <v>0</v>
      </c>
      <c r="H106" s="270">
        <f t="shared" si="33"/>
        <v>0</v>
      </c>
      <c r="J106" s="48"/>
      <c r="K106" s="48"/>
      <c r="L106" s="48"/>
    </row>
    <row r="107" spans="1:12" ht="15.75" customHeight="1">
      <c r="A107" s="270">
        <f t="shared" si="18"/>
        <v>0</v>
      </c>
      <c r="B107" s="270">
        <f t="shared" ref="B107:H107" si="34">B50</f>
        <v>0</v>
      </c>
      <c r="C107" s="270">
        <f t="shared" si="34"/>
        <v>0</v>
      </c>
      <c r="D107" s="270">
        <f t="shared" si="34"/>
        <v>0</v>
      </c>
      <c r="E107" s="270">
        <f t="shared" si="34"/>
        <v>0</v>
      </c>
      <c r="F107" s="270">
        <f t="shared" si="34"/>
        <v>0</v>
      </c>
      <c r="G107" s="270">
        <f t="shared" si="34"/>
        <v>0</v>
      </c>
      <c r="H107" s="270">
        <f t="shared" si="34"/>
        <v>0</v>
      </c>
      <c r="J107" s="48"/>
      <c r="K107" s="48"/>
      <c r="L107" s="48"/>
    </row>
    <row r="108" spans="1:12" ht="15.75" customHeight="1">
      <c r="A108" s="270">
        <f t="shared" si="18"/>
        <v>0</v>
      </c>
      <c r="B108" s="270">
        <f t="shared" ref="B108:H108" si="35">B51</f>
        <v>0</v>
      </c>
      <c r="C108" s="270">
        <f t="shared" si="35"/>
        <v>0</v>
      </c>
      <c r="D108" s="270">
        <f t="shared" si="35"/>
        <v>0</v>
      </c>
      <c r="E108" s="270">
        <f t="shared" si="35"/>
        <v>0</v>
      </c>
      <c r="F108" s="270">
        <f t="shared" si="35"/>
        <v>0</v>
      </c>
      <c r="G108" s="270">
        <f t="shared" si="35"/>
        <v>0</v>
      </c>
      <c r="H108" s="270">
        <f t="shared" si="35"/>
        <v>0</v>
      </c>
      <c r="J108" s="48"/>
      <c r="K108" s="48"/>
      <c r="L108" s="48"/>
    </row>
    <row r="109" spans="1:12" ht="15.75" customHeight="1">
      <c r="A109" s="270">
        <f t="shared" si="18"/>
        <v>0</v>
      </c>
      <c r="B109" s="270">
        <f t="shared" ref="B109:H109" si="36">B52</f>
        <v>0</v>
      </c>
      <c r="C109" s="270">
        <f t="shared" si="36"/>
        <v>0</v>
      </c>
      <c r="D109" s="270">
        <f t="shared" si="36"/>
        <v>0</v>
      </c>
      <c r="E109" s="270">
        <f t="shared" si="36"/>
        <v>0</v>
      </c>
      <c r="F109" s="270">
        <f t="shared" si="36"/>
        <v>0</v>
      </c>
      <c r="G109" s="270">
        <f t="shared" si="36"/>
        <v>0</v>
      </c>
      <c r="H109" s="270">
        <f t="shared" si="36"/>
        <v>0</v>
      </c>
      <c r="J109" s="48"/>
      <c r="K109" s="48"/>
      <c r="L109" s="48"/>
    </row>
    <row r="110" spans="1:12" ht="15.75" customHeight="1">
      <c r="A110" s="270">
        <f t="shared" si="18"/>
        <v>0</v>
      </c>
      <c r="B110" s="270"/>
      <c r="C110" s="270"/>
      <c r="D110" s="270"/>
      <c r="E110" s="270"/>
      <c r="F110" s="270"/>
      <c r="G110" s="270"/>
      <c r="H110" s="270"/>
      <c r="J110" s="48"/>
      <c r="K110" s="48"/>
      <c r="L110" s="48"/>
    </row>
    <row r="111" spans="1:12" ht="15.75" customHeight="1">
      <c r="A111" s="270">
        <f t="shared" si="18"/>
        <v>0</v>
      </c>
      <c r="B111" s="270"/>
      <c r="C111" s="270"/>
      <c r="D111" s="270"/>
      <c r="E111" s="270"/>
      <c r="F111" s="270"/>
      <c r="G111" s="270"/>
      <c r="H111" s="270"/>
      <c r="J111" s="48"/>
      <c r="K111" s="48"/>
      <c r="L111" s="48"/>
    </row>
    <row r="112" spans="1:12" ht="15.75" customHeight="1">
      <c r="A112" s="270">
        <f t="shared" si="18"/>
        <v>0</v>
      </c>
      <c r="B112" s="270"/>
      <c r="C112" s="270"/>
      <c r="D112" s="270"/>
      <c r="E112" s="270"/>
      <c r="F112" s="270"/>
      <c r="G112" s="270"/>
      <c r="H112" s="270"/>
      <c r="J112" s="48"/>
      <c r="K112" s="48"/>
      <c r="L112" s="48"/>
    </row>
    <row r="113" spans="1:12" ht="15.75" customHeight="1">
      <c r="A113" s="270" t="str">
        <f t="shared" si="18"/>
        <v>Pomegranate</v>
      </c>
      <c r="B113" s="270">
        <f t="shared" ref="B113:H113" si="37">B56</f>
        <v>0</v>
      </c>
      <c r="C113" s="270">
        <f t="shared" si="37"/>
        <v>0</v>
      </c>
      <c r="D113" s="270">
        <f t="shared" si="37"/>
        <v>0</v>
      </c>
      <c r="E113" s="270">
        <f t="shared" si="37"/>
        <v>0</v>
      </c>
      <c r="F113" s="270">
        <f t="shared" si="37"/>
        <v>0</v>
      </c>
      <c r="G113" s="270">
        <f t="shared" si="37"/>
        <v>0</v>
      </c>
      <c r="H113" s="270">
        <f t="shared" si="37"/>
        <v>0</v>
      </c>
      <c r="J113" s="48"/>
      <c r="K113" s="48"/>
      <c r="L113" s="48"/>
    </row>
    <row r="114" spans="1:12" ht="15.75" customHeight="1">
      <c r="A114" s="270" t="str">
        <f t="shared" si="18"/>
        <v>Custard Apple</v>
      </c>
      <c r="B114" s="270">
        <f t="shared" ref="B114:H114" si="38">B57</f>
        <v>0</v>
      </c>
      <c r="C114" s="270">
        <f t="shared" si="38"/>
        <v>0</v>
      </c>
      <c r="D114" s="270">
        <f t="shared" si="38"/>
        <v>0</v>
      </c>
      <c r="E114" s="270">
        <f t="shared" si="38"/>
        <v>0</v>
      </c>
      <c r="F114" s="270">
        <f t="shared" si="38"/>
        <v>0</v>
      </c>
      <c r="G114" s="270">
        <f t="shared" si="38"/>
        <v>0</v>
      </c>
      <c r="H114" s="270">
        <f t="shared" si="38"/>
        <v>0</v>
      </c>
      <c r="J114" s="48"/>
      <c r="K114" s="48"/>
      <c r="L114" s="48"/>
    </row>
    <row r="115" spans="1:12" ht="15.75" customHeight="1">
      <c r="A115" s="270" t="str">
        <f t="shared" si="18"/>
        <v>Guava</v>
      </c>
      <c r="B115" s="270">
        <f t="shared" ref="B115:H115" si="39">B58</f>
        <v>0</v>
      </c>
      <c r="C115" s="270">
        <f t="shared" si="39"/>
        <v>0</v>
      </c>
      <c r="D115" s="270">
        <f t="shared" si="39"/>
        <v>0</v>
      </c>
      <c r="E115" s="270">
        <f t="shared" si="39"/>
        <v>0</v>
      </c>
      <c r="F115" s="270">
        <f t="shared" si="39"/>
        <v>0</v>
      </c>
      <c r="G115" s="270">
        <f t="shared" si="39"/>
        <v>0</v>
      </c>
      <c r="H115" s="270">
        <f t="shared" si="39"/>
        <v>0</v>
      </c>
      <c r="J115" s="48"/>
      <c r="K115" s="48"/>
      <c r="L115" s="48"/>
    </row>
    <row r="116" spans="1:12" ht="15.75" customHeight="1">
      <c r="A116" s="270" t="str">
        <f t="shared" si="18"/>
        <v>Citrus</v>
      </c>
      <c r="B116" s="270">
        <f t="shared" ref="B116:H116" si="40">B59</f>
        <v>0</v>
      </c>
      <c r="C116" s="270">
        <f t="shared" si="40"/>
        <v>0</v>
      </c>
      <c r="D116" s="270">
        <f t="shared" si="40"/>
        <v>0</v>
      </c>
      <c r="E116" s="270">
        <f t="shared" si="40"/>
        <v>0</v>
      </c>
      <c r="F116" s="270">
        <f t="shared" si="40"/>
        <v>0</v>
      </c>
      <c r="G116" s="270">
        <f t="shared" si="40"/>
        <v>0</v>
      </c>
      <c r="H116" s="270">
        <f t="shared" si="40"/>
        <v>0</v>
      </c>
      <c r="J116" s="48"/>
      <c r="K116" s="48"/>
      <c r="L116" s="48"/>
    </row>
    <row r="117" spans="1:12" ht="15.75" customHeight="1">
      <c r="A117" s="78"/>
      <c r="B117" s="270"/>
      <c r="C117" s="270"/>
      <c r="D117" s="270"/>
      <c r="E117" s="270"/>
      <c r="F117" s="270"/>
      <c r="G117" s="270"/>
      <c r="H117" s="270"/>
      <c r="J117" s="48"/>
      <c r="K117" s="48"/>
      <c r="L117" s="48"/>
    </row>
    <row r="118" spans="1:12" ht="15.75" customHeight="1">
      <c r="A118" s="78"/>
      <c r="B118" s="270"/>
      <c r="C118" s="270"/>
      <c r="D118" s="270"/>
      <c r="E118" s="270"/>
      <c r="F118" s="270"/>
      <c r="G118" s="270"/>
      <c r="H118" s="270"/>
      <c r="J118" s="48"/>
      <c r="K118" s="48"/>
      <c r="L118" s="48"/>
    </row>
    <row r="119" spans="1:12" ht="15.75" customHeight="1">
      <c r="A119" s="81" t="s">
        <v>586</v>
      </c>
      <c r="B119" s="78"/>
      <c r="C119" s="78"/>
      <c r="D119" s="78"/>
      <c r="E119" s="78"/>
      <c r="F119" s="78"/>
      <c r="G119" s="78"/>
      <c r="H119" s="78"/>
    </row>
    <row r="120" spans="1:12" ht="15.75" customHeight="1">
      <c r="A120" s="270" t="str">
        <f t="shared" ref="A120:A141" si="41">A68</f>
        <v>Soybean</v>
      </c>
      <c r="B120" s="238">
        <f t="shared" ref="B120:H120" si="42">B68-(B68*$G$6)</f>
        <v>0</v>
      </c>
      <c r="C120" s="238">
        <f t="shared" si="42"/>
        <v>0</v>
      </c>
      <c r="D120" s="238">
        <f t="shared" si="42"/>
        <v>0</v>
      </c>
      <c r="E120" s="238">
        <f t="shared" si="42"/>
        <v>0</v>
      </c>
      <c r="F120" s="238">
        <f t="shared" si="42"/>
        <v>0</v>
      </c>
      <c r="G120" s="238">
        <f t="shared" si="42"/>
        <v>0</v>
      </c>
      <c r="H120" s="238">
        <f t="shared" si="42"/>
        <v>0</v>
      </c>
    </row>
    <row r="121" spans="1:12" ht="15.75" customHeight="1">
      <c r="A121" s="270" t="str">
        <f t="shared" si="41"/>
        <v>Red Gram/Tur</v>
      </c>
      <c r="B121" s="238">
        <f>B69-(B69*$G$6)</f>
        <v>4947</v>
      </c>
      <c r="C121" s="238">
        <f t="shared" ref="C121:H121" si="43">C69-(C69*$G$6)</f>
        <v>4947</v>
      </c>
      <c r="D121" s="238">
        <f t="shared" si="43"/>
        <v>4947</v>
      </c>
      <c r="E121" s="238">
        <f t="shared" si="43"/>
        <v>4947</v>
      </c>
      <c r="F121" s="238">
        <f t="shared" si="43"/>
        <v>4947</v>
      </c>
      <c r="G121" s="238">
        <f t="shared" si="43"/>
        <v>4947</v>
      </c>
      <c r="H121" s="238">
        <f t="shared" si="43"/>
        <v>4947</v>
      </c>
    </row>
    <row r="122" spans="1:12" ht="15.75" customHeight="1">
      <c r="A122" s="270" t="str">
        <f t="shared" si="41"/>
        <v>Paddy/Rice</v>
      </c>
      <c r="B122" s="238">
        <f t="shared" ref="B122:H122" si="44">B70-(B70*$G$6)</f>
        <v>0</v>
      </c>
      <c r="C122" s="238">
        <f t="shared" si="44"/>
        <v>0</v>
      </c>
      <c r="D122" s="238">
        <f t="shared" si="44"/>
        <v>0</v>
      </c>
      <c r="E122" s="238">
        <f t="shared" si="44"/>
        <v>0</v>
      </c>
      <c r="F122" s="238">
        <f t="shared" si="44"/>
        <v>0</v>
      </c>
      <c r="G122" s="238">
        <f t="shared" si="44"/>
        <v>0</v>
      </c>
      <c r="H122" s="238">
        <f t="shared" si="44"/>
        <v>0</v>
      </c>
    </row>
    <row r="123" spans="1:12" ht="15.75" customHeight="1">
      <c r="A123" s="270" t="str">
        <f t="shared" si="41"/>
        <v>Green Gram/ Moong</v>
      </c>
      <c r="B123" s="238">
        <f t="shared" ref="B123:H123" si="45">B71-(B71*$G$6)</f>
        <v>0</v>
      </c>
      <c r="C123" s="238">
        <f t="shared" si="45"/>
        <v>0</v>
      </c>
      <c r="D123" s="238">
        <f t="shared" si="45"/>
        <v>0</v>
      </c>
      <c r="E123" s="238">
        <f t="shared" si="45"/>
        <v>0</v>
      </c>
      <c r="F123" s="238">
        <f t="shared" si="45"/>
        <v>0</v>
      </c>
      <c r="G123" s="238">
        <f t="shared" si="45"/>
        <v>0</v>
      </c>
      <c r="H123" s="238">
        <f t="shared" si="45"/>
        <v>0</v>
      </c>
    </row>
    <row r="124" spans="1:12" ht="15.75" customHeight="1">
      <c r="A124" s="270" t="str">
        <f t="shared" si="41"/>
        <v>Maize</v>
      </c>
      <c r="B124" s="238">
        <f t="shared" ref="B124:H124" si="46">B72-(B72*$G$6)</f>
        <v>0</v>
      </c>
      <c r="C124" s="238">
        <f t="shared" si="46"/>
        <v>0</v>
      </c>
      <c r="D124" s="238">
        <f t="shared" si="46"/>
        <v>0</v>
      </c>
      <c r="E124" s="238">
        <f t="shared" si="46"/>
        <v>0</v>
      </c>
      <c r="F124" s="238">
        <f t="shared" si="46"/>
        <v>0</v>
      </c>
      <c r="G124" s="238">
        <f t="shared" si="46"/>
        <v>0</v>
      </c>
      <c r="H124" s="238">
        <f t="shared" si="46"/>
        <v>0</v>
      </c>
    </row>
    <row r="125" spans="1:12" ht="15.75" customHeight="1">
      <c r="A125" s="270" t="str">
        <f t="shared" si="41"/>
        <v>Black Gram/Udid</v>
      </c>
      <c r="B125" s="238">
        <f t="shared" ref="B125:H125" si="47">B73-(B73*$G$6)</f>
        <v>0</v>
      </c>
      <c r="C125" s="238">
        <f t="shared" si="47"/>
        <v>0</v>
      </c>
      <c r="D125" s="238">
        <f t="shared" si="47"/>
        <v>0</v>
      </c>
      <c r="E125" s="238">
        <f t="shared" si="47"/>
        <v>0</v>
      </c>
      <c r="F125" s="238">
        <f t="shared" si="47"/>
        <v>0</v>
      </c>
      <c r="G125" s="238">
        <f t="shared" si="47"/>
        <v>0</v>
      </c>
      <c r="H125" s="238">
        <f t="shared" si="47"/>
        <v>0</v>
      </c>
    </row>
    <row r="126" spans="1:12" ht="15.75" customHeight="1">
      <c r="A126" s="270" t="str">
        <f t="shared" si="41"/>
        <v>Bajra</v>
      </c>
      <c r="B126" s="238">
        <f t="shared" ref="B126:H126" si="48">B74-(B74*$G$6)</f>
        <v>0</v>
      </c>
      <c r="C126" s="238">
        <f t="shared" si="48"/>
        <v>0</v>
      </c>
      <c r="D126" s="238">
        <f t="shared" si="48"/>
        <v>0</v>
      </c>
      <c r="E126" s="238">
        <f t="shared" si="48"/>
        <v>0</v>
      </c>
      <c r="F126" s="238">
        <f t="shared" si="48"/>
        <v>0</v>
      </c>
      <c r="G126" s="238">
        <f t="shared" si="48"/>
        <v>0</v>
      </c>
      <c r="H126" s="238">
        <f t="shared" si="48"/>
        <v>0</v>
      </c>
    </row>
    <row r="127" spans="1:12" ht="15.75" customHeight="1">
      <c r="A127" s="270" t="str">
        <f t="shared" si="41"/>
        <v>Jawar</v>
      </c>
      <c r="B127" s="238">
        <f t="shared" ref="B127:H127" si="49">B75-(B75*$G$6)</f>
        <v>0</v>
      </c>
      <c r="C127" s="238">
        <f t="shared" si="49"/>
        <v>0</v>
      </c>
      <c r="D127" s="238">
        <f t="shared" si="49"/>
        <v>0</v>
      </c>
      <c r="E127" s="238">
        <f t="shared" si="49"/>
        <v>0</v>
      </c>
      <c r="F127" s="238">
        <f t="shared" si="49"/>
        <v>0</v>
      </c>
      <c r="G127" s="238">
        <f t="shared" si="49"/>
        <v>0</v>
      </c>
      <c r="H127" s="238">
        <f t="shared" si="49"/>
        <v>0</v>
      </c>
    </row>
    <row r="128" spans="1:12" ht="15.75" customHeight="1">
      <c r="A128" s="270" t="str">
        <f t="shared" si="41"/>
        <v>Sunflower</v>
      </c>
      <c r="B128" s="238">
        <f t="shared" ref="B128:H128" si="50">B76-(B76*$G$6)</f>
        <v>0</v>
      </c>
      <c r="C128" s="238">
        <f t="shared" si="50"/>
        <v>0</v>
      </c>
      <c r="D128" s="238">
        <f t="shared" si="50"/>
        <v>0</v>
      </c>
      <c r="E128" s="238">
        <f t="shared" si="50"/>
        <v>0</v>
      </c>
      <c r="F128" s="238">
        <f t="shared" si="50"/>
        <v>0</v>
      </c>
      <c r="G128" s="238">
        <f t="shared" si="50"/>
        <v>0</v>
      </c>
      <c r="H128" s="238">
        <f t="shared" si="50"/>
        <v>0</v>
      </c>
    </row>
    <row r="129" spans="1:8" ht="15.75" customHeight="1">
      <c r="A129" s="270" t="str">
        <f t="shared" si="41"/>
        <v>Wheat</v>
      </c>
      <c r="B129" s="238">
        <f t="shared" ref="B129:H129" si="51">B77-(B77*$G$6)</f>
        <v>0</v>
      </c>
      <c r="C129" s="238">
        <f t="shared" si="51"/>
        <v>0</v>
      </c>
      <c r="D129" s="238">
        <f t="shared" si="51"/>
        <v>0</v>
      </c>
      <c r="E129" s="238">
        <f t="shared" si="51"/>
        <v>0</v>
      </c>
      <c r="F129" s="238">
        <f t="shared" si="51"/>
        <v>0</v>
      </c>
      <c r="G129" s="238">
        <f t="shared" si="51"/>
        <v>0</v>
      </c>
      <c r="H129" s="238">
        <f t="shared" si="51"/>
        <v>0</v>
      </c>
    </row>
    <row r="130" spans="1:8" ht="15.75" customHeight="1">
      <c r="A130" s="270" t="str">
        <f t="shared" si="41"/>
        <v>Bengal Gram/Channa</v>
      </c>
      <c r="B130" s="238">
        <f t="shared" ref="B130:H130" si="52">B78-(B78*$G$6)</f>
        <v>3104</v>
      </c>
      <c r="C130" s="238">
        <f t="shared" si="52"/>
        <v>3104.0000000000005</v>
      </c>
      <c r="D130" s="238">
        <f t="shared" si="52"/>
        <v>3104.0000000000005</v>
      </c>
      <c r="E130" s="238">
        <f t="shared" si="52"/>
        <v>3104.0000000000005</v>
      </c>
      <c r="F130" s="238">
        <f t="shared" si="52"/>
        <v>3104.0000000000005</v>
      </c>
      <c r="G130" s="238">
        <f t="shared" si="52"/>
        <v>3104.0000000000005</v>
      </c>
      <c r="H130" s="238">
        <f t="shared" si="52"/>
        <v>3104.0000000000005</v>
      </c>
    </row>
    <row r="131" spans="1:8" ht="15.75" customHeight="1">
      <c r="A131" s="270" t="str">
        <f t="shared" si="41"/>
        <v>Jawar</v>
      </c>
      <c r="B131" s="238">
        <f t="shared" ref="B131:H131" si="53">B79-(B79*$G$6)</f>
        <v>0</v>
      </c>
      <c r="C131" s="238">
        <f t="shared" si="53"/>
        <v>0</v>
      </c>
      <c r="D131" s="238">
        <f t="shared" si="53"/>
        <v>0</v>
      </c>
      <c r="E131" s="238">
        <f t="shared" si="53"/>
        <v>0</v>
      </c>
      <c r="F131" s="238">
        <f t="shared" si="53"/>
        <v>0</v>
      </c>
      <c r="G131" s="238">
        <f t="shared" si="53"/>
        <v>0</v>
      </c>
      <c r="H131" s="238">
        <f t="shared" si="53"/>
        <v>0</v>
      </c>
    </row>
    <row r="132" spans="1:8" ht="15.75" customHeight="1">
      <c r="A132" s="270" t="str">
        <f t="shared" si="41"/>
        <v>Maize</v>
      </c>
      <c r="B132" s="238">
        <f t="shared" ref="B132:H132" si="54">B80-(B80*$G$6)</f>
        <v>0</v>
      </c>
      <c r="C132" s="238">
        <f t="shared" si="54"/>
        <v>0</v>
      </c>
      <c r="D132" s="238">
        <f t="shared" si="54"/>
        <v>0</v>
      </c>
      <c r="E132" s="238">
        <f t="shared" si="54"/>
        <v>0</v>
      </c>
      <c r="F132" s="238">
        <f t="shared" si="54"/>
        <v>0</v>
      </c>
      <c r="G132" s="238">
        <f t="shared" si="54"/>
        <v>0</v>
      </c>
      <c r="H132" s="238">
        <f t="shared" si="54"/>
        <v>0</v>
      </c>
    </row>
    <row r="133" spans="1:8" ht="15.75" customHeight="1">
      <c r="A133" s="270" t="str">
        <f t="shared" si="41"/>
        <v>Safflower</v>
      </c>
      <c r="B133" s="238">
        <f t="shared" ref="B133:H133" si="55">B81-(B81*$G$6)</f>
        <v>0</v>
      </c>
      <c r="C133" s="238">
        <f t="shared" si="55"/>
        <v>0</v>
      </c>
      <c r="D133" s="238">
        <f t="shared" si="55"/>
        <v>0</v>
      </c>
      <c r="E133" s="238">
        <f t="shared" si="55"/>
        <v>0</v>
      </c>
      <c r="F133" s="238">
        <f t="shared" si="55"/>
        <v>0</v>
      </c>
      <c r="G133" s="238">
        <f t="shared" si="55"/>
        <v>0</v>
      </c>
      <c r="H133" s="238">
        <f t="shared" si="55"/>
        <v>0</v>
      </c>
    </row>
    <row r="134" spans="1:8" ht="15.75" customHeight="1">
      <c r="A134" s="270">
        <f t="shared" si="41"/>
        <v>0</v>
      </c>
      <c r="B134" s="238">
        <f t="shared" ref="B134:H134" si="56">B82-(B82*$G$6)</f>
        <v>0</v>
      </c>
      <c r="C134" s="238">
        <f t="shared" si="56"/>
        <v>0</v>
      </c>
      <c r="D134" s="238">
        <f t="shared" si="56"/>
        <v>0</v>
      </c>
      <c r="E134" s="238">
        <f t="shared" si="56"/>
        <v>0</v>
      </c>
      <c r="F134" s="238">
        <f t="shared" si="56"/>
        <v>0</v>
      </c>
      <c r="G134" s="238">
        <f t="shared" si="56"/>
        <v>0</v>
      </c>
      <c r="H134" s="238">
        <f t="shared" si="56"/>
        <v>0</v>
      </c>
    </row>
    <row r="135" spans="1:8" ht="15.75" customHeight="1">
      <c r="A135" s="270">
        <f t="shared" si="41"/>
        <v>0</v>
      </c>
      <c r="B135" s="238">
        <f t="shared" ref="B135:H135" si="57">B83-(B83*$G$6)</f>
        <v>0</v>
      </c>
      <c r="C135" s="238">
        <f t="shared" si="57"/>
        <v>0</v>
      </c>
      <c r="D135" s="238">
        <f t="shared" si="57"/>
        <v>0</v>
      </c>
      <c r="E135" s="238">
        <f t="shared" si="57"/>
        <v>0</v>
      </c>
      <c r="F135" s="238">
        <f t="shared" si="57"/>
        <v>0</v>
      </c>
      <c r="G135" s="238">
        <f t="shared" si="57"/>
        <v>0</v>
      </c>
      <c r="H135" s="238">
        <f t="shared" si="57"/>
        <v>0</v>
      </c>
    </row>
    <row r="136" spans="1:8" ht="15.75" customHeight="1">
      <c r="A136" s="270">
        <f t="shared" si="41"/>
        <v>0</v>
      </c>
      <c r="B136" s="238">
        <f t="shared" ref="B136:H136" si="58">B84-(B84*$G$6)</f>
        <v>0</v>
      </c>
      <c r="C136" s="238">
        <f t="shared" si="58"/>
        <v>0</v>
      </c>
      <c r="D136" s="238">
        <f t="shared" si="58"/>
        <v>0</v>
      </c>
      <c r="E136" s="238">
        <f t="shared" si="58"/>
        <v>0</v>
      </c>
      <c r="F136" s="238">
        <f t="shared" si="58"/>
        <v>0</v>
      </c>
      <c r="G136" s="238">
        <f t="shared" si="58"/>
        <v>0</v>
      </c>
      <c r="H136" s="238">
        <f t="shared" si="58"/>
        <v>0</v>
      </c>
    </row>
    <row r="137" spans="1:8" ht="15.75" customHeight="1">
      <c r="A137" s="270" t="str">
        <f t="shared" si="41"/>
        <v>Groundnut</v>
      </c>
      <c r="B137" s="238">
        <f t="shared" ref="B137:H137" si="59">B85-(B85*$G$6)</f>
        <v>0</v>
      </c>
      <c r="C137" s="238">
        <f t="shared" si="59"/>
        <v>0</v>
      </c>
      <c r="D137" s="238">
        <f t="shared" si="59"/>
        <v>0</v>
      </c>
      <c r="E137" s="238">
        <f t="shared" si="59"/>
        <v>0</v>
      </c>
      <c r="F137" s="238">
        <f t="shared" si="59"/>
        <v>0</v>
      </c>
      <c r="G137" s="238">
        <f t="shared" si="59"/>
        <v>0</v>
      </c>
      <c r="H137" s="238">
        <f t="shared" si="59"/>
        <v>0</v>
      </c>
    </row>
    <row r="138" spans="1:8" ht="15.75" customHeight="1">
      <c r="A138" s="270">
        <f t="shared" si="41"/>
        <v>0</v>
      </c>
      <c r="B138" s="238">
        <f t="shared" ref="B138:H138" si="60">B86-(B86*$G$6)</f>
        <v>0</v>
      </c>
      <c r="C138" s="238">
        <f t="shared" si="60"/>
        <v>0</v>
      </c>
      <c r="D138" s="238">
        <f t="shared" si="60"/>
        <v>0</v>
      </c>
      <c r="E138" s="238">
        <f t="shared" si="60"/>
        <v>0</v>
      </c>
      <c r="F138" s="238">
        <f t="shared" si="60"/>
        <v>0</v>
      </c>
      <c r="G138" s="238">
        <f t="shared" si="60"/>
        <v>0</v>
      </c>
      <c r="H138" s="238">
        <f t="shared" si="60"/>
        <v>0</v>
      </c>
    </row>
    <row r="139" spans="1:8" ht="15.75" customHeight="1">
      <c r="A139" s="270">
        <f t="shared" si="41"/>
        <v>0</v>
      </c>
      <c r="B139" s="238">
        <f t="shared" ref="B139:H139" si="61">B87-(B87*$G$6)</f>
        <v>0</v>
      </c>
      <c r="C139" s="238">
        <f t="shared" si="61"/>
        <v>0</v>
      </c>
      <c r="D139" s="238">
        <f t="shared" si="61"/>
        <v>0</v>
      </c>
      <c r="E139" s="238">
        <f t="shared" si="61"/>
        <v>0</v>
      </c>
      <c r="F139" s="238">
        <f t="shared" si="61"/>
        <v>0</v>
      </c>
      <c r="G139" s="238">
        <f t="shared" si="61"/>
        <v>0</v>
      </c>
      <c r="H139" s="238">
        <f t="shared" si="61"/>
        <v>0</v>
      </c>
    </row>
    <row r="140" spans="1:8" ht="15.75" customHeight="1">
      <c r="A140" s="270">
        <f t="shared" si="41"/>
        <v>0</v>
      </c>
      <c r="B140" s="238">
        <f t="shared" ref="B140:H140" si="62">B88-(B88*$G$6)</f>
        <v>0</v>
      </c>
      <c r="C140" s="238">
        <f t="shared" si="62"/>
        <v>0</v>
      </c>
      <c r="D140" s="238">
        <f t="shared" si="62"/>
        <v>0</v>
      </c>
      <c r="E140" s="238">
        <f t="shared" si="62"/>
        <v>0</v>
      </c>
      <c r="F140" s="238">
        <f t="shared" si="62"/>
        <v>0</v>
      </c>
      <c r="G140" s="238">
        <f t="shared" si="62"/>
        <v>0</v>
      </c>
      <c r="H140" s="238">
        <f t="shared" si="62"/>
        <v>0</v>
      </c>
    </row>
    <row r="141" spans="1:8" ht="15.75" customHeight="1">
      <c r="A141" s="270">
        <f t="shared" si="41"/>
        <v>0</v>
      </c>
      <c r="B141" s="238">
        <f t="shared" ref="B141:H141" si="63">B89-(B89*$G$6)</f>
        <v>0</v>
      </c>
      <c r="C141" s="238">
        <f t="shared" si="63"/>
        <v>0</v>
      </c>
      <c r="D141" s="238">
        <f t="shared" si="63"/>
        <v>0</v>
      </c>
      <c r="E141" s="238">
        <f t="shared" si="63"/>
        <v>0</v>
      </c>
      <c r="F141" s="238">
        <f t="shared" si="63"/>
        <v>0</v>
      </c>
      <c r="G141" s="238">
        <f t="shared" si="63"/>
        <v>0</v>
      </c>
      <c r="H141" s="238">
        <f t="shared" si="63"/>
        <v>0</v>
      </c>
    </row>
    <row r="142" spans="1:8" ht="15.75" customHeight="1">
      <c r="A142" s="78"/>
      <c r="B142" s="238"/>
      <c r="C142" s="238"/>
      <c r="D142" s="238"/>
      <c r="E142" s="238"/>
      <c r="F142" s="238"/>
      <c r="G142" s="238"/>
      <c r="H142" s="238"/>
    </row>
    <row r="143" spans="1:8" ht="15.75" customHeight="1">
      <c r="A143" s="266" t="str">
        <f t="shared" ref="A143:A168" si="64">A91</f>
        <v>Fruit  &amp; Vegetables Crop Production Details</v>
      </c>
      <c r="B143" s="238"/>
      <c r="C143" s="238"/>
      <c r="D143" s="238"/>
      <c r="E143" s="238"/>
      <c r="F143" s="238"/>
      <c r="G143" s="238"/>
      <c r="H143" s="238"/>
    </row>
    <row r="144" spans="1:8" ht="15.75" customHeight="1">
      <c r="A144" s="270" t="str">
        <f t="shared" si="64"/>
        <v>Onion</v>
      </c>
      <c r="B144" s="238">
        <f t="shared" ref="B144:H144" si="65">B92-(B92*$G$7)</f>
        <v>0</v>
      </c>
      <c r="C144" s="238">
        <f t="shared" si="65"/>
        <v>0</v>
      </c>
      <c r="D144" s="238">
        <f t="shared" si="65"/>
        <v>0</v>
      </c>
      <c r="E144" s="238">
        <f t="shared" si="65"/>
        <v>0</v>
      </c>
      <c r="F144" s="238">
        <f t="shared" si="65"/>
        <v>0</v>
      </c>
      <c r="G144" s="238">
        <f t="shared" si="65"/>
        <v>0</v>
      </c>
      <c r="H144" s="238">
        <f t="shared" si="65"/>
        <v>0</v>
      </c>
    </row>
    <row r="145" spans="1:8" ht="15.75" customHeight="1">
      <c r="A145" s="270" t="str">
        <f t="shared" si="64"/>
        <v>Tomato</v>
      </c>
      <c r="B145" s="238">
        <f t="shared" ref="B145:H145" si="66">B93-(B93*$G$7)</f>
        <v>0</v>
      </c>
      <c r="C145" s="238">
        <f t="shared" si="66"/>
        <v>0</v>
      </c>
      <c r="D145" s="238">
        <f t="shared" si="66"/>
        <v>0</v>
      </c>
      <c r="E145" s="238">
        <f t="shared" si="66"/>
        <v>0</v>
      </c>
      <c r="F145" s="238">
        <f t="shared" si="66"/>
        <v>0</v>
      </c>
      <c r="G145" s="238">
        <f t="shared" si="66"/>
        <v>0</v>
      </c>
      <c r="H145" s="238">
        <f t="shared" si="66"/>
        <v>0</v>
      </c>
    </row>
    <row r="146" spans="1:8" ht="15.75" customHeight="1">
      <c r="A146" s="270" t="str">
        <f t="shared" si="64"/>
        <v>Okra</v>
      </c>
      <c r="B146" s="238">
        <f t="shared" ref="B146:H146" si="67">B94-(B94*$G$7)</f>
        <v>0</v>
      </c>
      <c r="C146" s="238">
        <f t="shared" si="67"/>
        <v>0</v>
      </c>
      <c r="D146" s="238">
        <f t="shared" si="67"/>
        <v>0</v>
      </c>
      <c r="E146" s="238">
        <f t="shared" si="67"/>
        <v>0</v>
      </c>
      <c r="F146" s="238">
        <f t="shared" si="67"/>
        <v>0</v>
      </c>
      <c r="G146" s="238">
        <f t="shared" si="67"/>
        <v>0</v>
      </c>
      <c r="H146" s="238">
        <f t="shared" si="67"/>
        <v>0</v>
      </c>
    </row>
    <row r="147" spans="1:8" ht="15.75" customHeight="1">
      <c r="A147" s="270" t="str">
        <f t="shared" si="64"/>
        <v>Chilli</v>
      </c>
      <c r="B147" s="238">
        <f t="shared" ref="B147:H147" si="68">B95-(B95*$G$7)</f>
        <v>0</v>
      </c>
      <c r="C147" s="238">
        <f t="shared" si="68"/>
        <v>0</v>
      </c>
      <c r="D147" s="238">
        <f t="shared" si="68"/>
        <v>0</v>
      </c>
      <c r="E147" s="238">
        <f t="shared" si="68"/>
        <v>0</v>
      </c>
      <c r="F147" s="238">
        <f t="shared" si="68"/>
        <v>0</v>
      </c>
      <c r="G147" s="238">
        <f t="shared" si="68"/>
        <v>0</v>
      </c>
      <c r="H147" s="238">
        <f t="shared" si="68"/>
        <v>0</v>
      </c>
    </row>
    <row r="148" spans="1:8" ht="15.75" customHeight="1">
      <c r="A148" s="270" t="str">
        <f t="shared" si="64"/>
        <v>Potato</v>
      </c>
      <c r="B148" s="238">
        <f t="shared" ref="B148:H148" si="69">B96-(B96*$G$7)</f>
        <v>0</v>
      </c>
      <c r="C148" s="238">
        <f t="shared" si="69"/>
        <v>0</v>
      </c>
      <c r="D148" s="238">
        <f t="shared" si="69"/>
        <v>0</v>
      </c>
      <c r="E148" s="238">
        <f t="shared" si="69"/>
        <v>0</v>
      </c>
      <c r="F148" s="238">
        <f t="shared" si="69"/>
        <v>0</v>
      </c>
      <c r="G148" s="238">
        <f t="shared" si="69"/>
        <v>0</v>
      </c>
      <c r="H148" s="238">
        <f t="shared" si="69"/>
        <v>0</v>
      </c>
    </row>
    <row r="149" spans="1:8" ht="15.75" customHeight="1">
      <c r="A149" s="270">
        <f t="shared" si="64"/>
        <v>0</v>
      </c>
      <c r="B149" s="238">
        <f t="shared" ref="B149:H149" si="70">B97-(B97*$G$7)</f>
        <v>0</v>
      </c>
      <c r="C149" s="238">
        <f t="shared" si="70"/>
        <v>0</v>
      </c>
      <c r="D149" s="238">
        <f t="shared" si="70"/>
        <v>0</v>
      </c>
      <c r="E149" s="238">
        <f t="shared" si="70"/>
        <v>0</v>
      </c>
      <c r="F149" s="238">
        <f t="shared" si="70"/>
        <v>0</v>
      </c>
      <c r="G149" s="238">
        <f t="shared" si="70"/>
        <v>0</v>
      </c>
      <c r="H149" s="238">
        <f t="shared" si="70"/>
        <v>0</v>
      </c>
    </row>
    <row r="150" spans="1:8" ht="15.75" customHeight="1">
      <c r="A150" s="270">
        <f t="shared" si="64"/>
        <v>0</v>
      </c>
      <c r="B150" s="238">
        <f t="shared" ref="B150:H150" si="71">B98-(B98*$G$7)</f>
        <v>0</v>
      </c>
      <c r="C150" s="238">
        <f t="shared" si="71"/>
        <v>0</v>
      </c>
      <c r="D150" s="238">
        <f t="shared" si="71"/>
        <v>0</v>
      </c>
      <c r="E150" s="238">
        <f t="shared" si="71"/>
        <v>0</v>
      </c>
      <c r="F150" s="238">
        <f t="shared" si="71"/>
        <v>0</v>
      </c>
      <c r="G150" s="238">
        <f t="shared" si="71"/>
        <v>0</v>
      </c>
      <c r="H150" s="238">
        <f t="shared" si="71"/>
        <v>0</v>
      </c>
    </row>
    <row r="151" spans="1:8" ht="15.75" customHeight="1">
      <c r="A151" s="270">
        <f t="shared" si="64"/>
        <v>0</v>
      </c>
      <c r="B151" s="238">
        <f t="shared" ref="B151:H151" si="72">B99-(B99*$G$7)</f>
        <v>0</v>
      </c>
      <c r="C151" s="238">
        <f t="shared" si="72"/>
        <v>0</v>
      </c>
      <c r="D151" s="238">
        <f t="shared" si="72"/>
        <v>0</v>
      </c>
      <c r="E151" s="238">
        <f t="shared" si="72"/>
        <v>0</v>
      </c>
      <c r="F151" s="238">
        <f t="shared" si="72"/>
        <v>0</v>
      </c>
      <c r="G151" s="238">
        <f t="shared" si="72"/>
        <v>0</v>
      </c>
      <c r="H151" s="238">
        <f t="shared" si="72"/>
        <v>0</v>
      </c>
    </row>
    <row r="152" spans="1:8" ht="15.75" customHeight="1">
      <c r="A152" s="270">
        <f t="shared" si="64"/>
        <v>0</v>
      </c>
      <c r="B152" s="238">
        <f t="shared" ref="B152:H152" si="73">B100-(B100*$G$7)</f>
        <v>0</v>
      </c>
      <c r="C152" s="238">
        <f t="shared" si="73"/>
        <v>0</v>
      </c>
      <c r="D152" s="238">
        <f t="shared" si="73"/>
        <v>0</v>
      </c>
      <c r="E152" s="238">
        <f t="shared" si="73"/>
        <v>0</v>
      </c>
      <c r="F152" s="238">
        <f t="shared" si="73"/>
        <v>0</v>
      </c>
      <c r="G152" s="238">
        <f t="shared" si="73"/>
        <v>0</v>
      </c>
      <c r="H152" s="238">
        <f t="shared" si="73"/>
        <v>0</v>
      </c>
    </row>
    <row r="153" spans="1:8" ht="15.75" customHeight="1">
      <c r="A153" s="270" t="str">
        <f t="shared" si="64"/>
        <v>Onion</v>
      </c>
      <c r="B153" s="238">
        <f t="shared" ref="B153:H153" si="74">B101-(B101*$G$7)</f>
        <v>0</v>
      </c>
      <c r="C153" s="238">
        <f t="shared" si="74"/>
        <v>0</v>
      </c>
      <c r="D153" s="238">
        <f t="shared" si="74"/>
        <v>0</v>
      </c>
      <c r="E153" s="238">
        <f t="shared" si="74"/>
        <v>0</v>
      </c>
      <c r="F153" s="238">
        <f t="shared" si="74"/>
        <v>0</v>
      </c>
      <c r="G153" s="238">
        <f t="shared" si="74"/>
        <v>0</v>
      </c>
      <c r="H153" s="238">
        <f t="shared" si="74"/>
        <v>0</v>
      </c>
    </row>
    <row r="154" spans="1:8" ht="15.75" customHeight="1">
      <c r="A154" s="270" t="str">
        <f t="shared" si="64"/>
        <v>Tomato</v>
      </c>
      <c r="B154" s="238">
        <f t="shared" ref="B154:H154" si="75">B102-(B102*$G$7)</f>
        <v>0</v>
      </c>
      <c r="C154" s="238">
        <f t="shared" si="75"/>
        <v>0</v>
      </c>
      <c r="D154" s="238">
        <f t="shared" si="75"/>
        <v>0</v>
      </c>
      <c r="E154" s="238">
        <f t="shared" si="75"/>
        <v>0</v>
      </c>
      <c r="F154" s="238">
        <f t="shared" si="75"/>
        <v>0</v>
      </c>
      <c r="G154" s="238">
        <f t="shared" si="75"/>
        <v>0</v>
      </c>
      <c r="H154" s="238">
        <f t="shared" si="75"/>
        <v>0</v>
      </c>
    </row>
    <row r="155" spans="1:8" ht="15.75" customHeight="1">
      <c r="A155" s="270" t="str">
        <f t="shared" si="64"/>
        <v>Okra</v>
      </c>
      <c r="B155" s="238">
        <f t="shared" ref="B155:H155" si="76">B103-(B103*$G$7)</f>
        <v>0</v>
      </c>
      <c r="C155" s="238">
        <f t="shared" si="76"/>
        <v>0</v>
      </c>
      <c r="D155" s="238">
        <f t="shared" si="76"/>
        <v>0</v>
      </c>
      <c r="E155" s="238">
        <f t="shared" si="76"/>
        <v>0</v>
      </c>
      <c r="F155" s="238">
        <f t="shared" si="76"/>
        <v>0</v>
      </c>
      <c r="G155" s="238">
        <f t="shared" si="76"/>
        <v>0</v>
      </c>
      <c r="H155" s="238">
        <f t="shared" si="76"/>
        <v>0</v>
      </c>
    </row>
    <row r="156" spans="1:8" ht="15.75" customHeight="1">
      <c r="A156" s="270" t="str">
        <f t="shared" si="64"/>
        <v>Chilli</v>
      </c>
      <c r="B156" s="238">
        <f t="shared" ref="B156:H156" si="77">B104-(B104*$G$7)</f>
        <v>0</v>
      </c>
      <c r="C156" s="238">
        <f t="shared" si="77"/>
        <v>0</v>
      </c>
      <c r="D156" s="238">
        <f t="shared" si="77"/>
        <v>0</v>
      </c>
      <c r="E156" s="238">
        <f t="shared" si="77"/>
        <v>0</v>
      </c>
      <c r="F156" s="238">
        <f t="shared" si="77"/>
        <v>0</v>
      </c>
      <c r="G156" s="238">
        <f t="shared" si="77"/>
        <v>0</v>
      </c>
      <c r="H156" s="238">
        <f t="shared" si="77"/>
        <v>0</v>
      </c>
    </row>
    <row r="157" spans="1:8" ht="15.75" customHeight="1">
      <c r="A157" s="270" t="str">
        <f t="shared" si="64"/>
        <v>Brinjal</v>
      </c>
      <c r="B157" s="238">
        <f t="shared" ref="B157:H157" si="78">B105-(B105*$G$7)</f>
        <v>0</v>
      </c>
      <c r="C157" s="238">
        <f t="shared" si="78"/>
        <v>0</v>
      </c>
      <c r="D157" s="238">
        <f t="shared" si="78"/>
        <v>0</v>
      </c>
      <c r="E157" s="238">
        <f t="shared" si="78"/>
        <v>0</v>
      </c>
      <c r="F157" s="238">
        <f t="shared" si="78"/>
        <v>0</v>
      </c>
      <c r="G157" s="238">
        <f t="shared" si="78"/>
        <v>0</v>
      </c>
      <c r="H157" s="238">
        <f t="shared" si="78"/>
        <v>0</v>
      </c>
    </row>
    <row r="158" spans="1:8" ht="15.75" customHeight="1">
      <c r="A158" s="270">
        <f t="shared" si="64"/>
        <v>0</v>
      </c>
      <c r="B158" s="238">
        <f t="shared" ref="B158:H158" si="79">B106-(B106*$G$7)</f>
        <v>0</v>
      </c>
      <c r="C158" s="238">
        <f t="shared" si="79"/>
        <v>0</v>
      </c>
      <c r="D158" s="238">
        <f t="shared" si="79"/>
        <v>0</v>
      </c>
      <c r="E158" s="238">
        <f t="shared" si="79"/>
        <v>0</v>
      </c>
      <c r="F158" s="238">
        <f t="shared" si="79"/>
        <v>0</v>
      </c>
      <c r="G158" s="238">
        <f t="shared" si="79"/>
        <v>0</v>
      </c>
      <c r="H158" s="238">
        <f t="shared" si="79"/>
        <v>0</v>
      </c>
    </row>
    <row r="159" spans="1:8" ht="15.75" customHeight="1">
      <c r="A159" s="270">
        <f t="shared" si="64"/>
        <v>0</v>
      </c>
      <c r="B159" s="238">
        <f t="shared" ref="B159:H159" si="80">B107-(B107*$G$7)</f>
        <v>0</v>
      </c>
      <c r="C159" s="238">
        <f t="shared" si="80"/>
        <v>0</v>
      </c>
      <c r="D159" s="238">
        <f t="shared" si="80"/>
        <v>0</v>
      </c>
      <c r="E159" s="238">
        <f t="shared" si="80"/>
        <v>0</v>
      </c>
      <c r="F159" s="238">
        <f t="shared" si="80"/>
        <v>0</v>
      </c>
      <c r="G159" s="238">
        <f t="shared" si="80"/>
        <v>0</v>
      </c>
      <c r="H159" s="238">
        <f t="shared" si="80"/>
        <v>0</v>
      </c>
    </row>
    <row r="160" spans="1:8" ht="15.75" customHeight="1">
      <c r="A160" s="270">
        <f t="shared" si="64"/>
        <v>0</v>
      </c>
      <c r="B160" s="238">
        <f t="shared" ref="B160:H160" si="81">B108-(B108*$G$7)</f>
        <v>0</v>
      </c>
      <c r="C160" s="238">
        <f t="shared" si="81"/>
        <v>0</v>
      </c>
      <c r="D160" s="238">
        <f t="shared" si="81"/>
        <v>0</v>
      </c>
      <c r="E160" s="238">
        <f t="shared" si="81"/>
        <v>0</v>
      </c>
      <c r="F160" s="238">
        <f t="shared" si="81"/>
        <v>0</v>
      </c>
      <c r="G160" s="238">
        <f t="shared" si="81"/>
        <v>0</v>
      </c>
      <c r="H160" s="238">
        <f t="shared" si="81"/>
        <v>0</v>
      </c>
    </row>
    <row r="161" spans="1:20" ht="15.75" customHeight="1">
      <c r="A161" s="270">
        <f t="shared" si="64"/>
        <v>0</v>
      </c>
      <c r="B161" s="238">
        <f t="shared" ref="B161:H161" si="82">B109-(B109*$G$7)</f>
        <v>0</v>
      </c>
      <c r="C161" s="238">
        <f t="shared" si="82"/>
        <v>0</v>
      </c>
      <c r="D161" s="238">
        <f t="shared" si="82"/>
        <v>0</v>
      </c>
      <c r="E161" s="238">
        <f t="shared" si="82"/>
        <v>0</v>
      </c>
      <c r="F161" s="238">
        <f t="shared" si="82"/>
        <v>0</v>
      </c>
      <c r="G161" s="238">
        <f t="shared" si="82"/>
        <v>0</v>
      </c>
      <c r="H161" s="238">
        <f t="shared" si="82"/>
        <v>0</v>
      </c>
    </row>
    <row r="162" spans="1:20" ht="15.75" customHeight="1">
      <c r="A162" s="270">
        <f t="shared" si="64"/>
        <v>0</v>
      </c>
      <c r="B162" s="238">
        <f t="shared" ref="B162:H162" si="83">B110-(B110*$G$7)</f>
        <v>0</v>
      </c>
      <c r="C162" s="238">
        <f t="shared" si="83"/>
        <v>0</v>
      </c>
      <c r="D162" s="238">
        <f t="shared" si="83"/>
        <v>0</v>
      </c>
      <c r="E162" s="238">
        <f t="shared" si="83"/>
        <v>0</v>
      </c>
      <c r="F162" s="238">
        <f t="shared" si="83"/>
        <v>0</v>
      </c>
      <c r="G162" s="238">
        <f t="shared" si="83"/>
        <v>0</v>
      </c>
      <c r="H162" s="238">
        <f t="shared" si="83"/>
        <v>0</v>
      </c>
    </row>
    <row r="163" spans="1:20" ht="15.75" customHeight="1">
      <c r="A163" s="270">
        <f t="shared" si="64"/>
        <v>0</v>
      </c>
      <c r="B163" s="238">
        <f t="shared" ref="B163:H163" si="84">B111-(B111*$G$7)</f>
        <v>0</v>
      </c>
      <c r="C163" s="238">
        <f t="shared" si="84"/>
        <v>0</v>
      </c>
      <c r="D163" s="238">
        <f t="shared" si="84"/>
        <v>0</v>
      </c>
      <c r="E163" s="238">
        <f t="shared" si="84"/>
        <v>0</v>
      </c>
      <c r="F163" s="238">
        <f t="shared" si="84"/>
        <v>0</v>
      </c>
      <c r="G163" s="238">
        <f t="shared" si="84"/>
        <v>0</v>
      </c>
      <c r="H163" s="238">
        <f t="shared" si="84"/>
        <v>0</v>
      </c>
    </row>
    <row r="164" spans="1:20" ht="15.75" customHeight="1">
      <c r="A164" s="270">
        <f t="shared" si="64"/>
        <v>0</v>
      </c>
      <c r="B164" s="238">
        <f t="shared" ref="B164:H164" si="85">B112-(B112*$G$7)</f>
        <v>0</v>
      </c>
      <c r="C164" s="238">
        <f t="shared" si="85"/>
        <v>0</v>
      </c>
      <c r="D164" s="238">
        <f t="shared" si="85"/>
        <v>0</v>
      </c>
      <c r="E164" s="238">
        <f t="shared" si="85"/>
        <v>0</v>
      </c>
      <c r="F164" s="238">
        <f t="shared" si="85"/>
        <v>0</v>
      </c>
      <c r="G164" s="238">
        <f t="shared" si="85"/>
        <v>0</v>
      </c>
      <c r="H164" s="238">
        <f t="shared" si="85"/>
        <v>0</v>
      </c>
    </row>
    <row r="165" spans="1:20" ht="15.75" customHeight="1">
      <c r="A165" s="270" t="str">
        <f t="shared" si="64"/>
        <v>Pomegranate</v>
      </c>
      <c r="B165" s="238">
        <f t="shared" ref="B165:H165" si="86">B113-(B113*$G$7)</f>
        <v>0</v>
      </c>
      <c r="C165" s="238">
        <f t="shared" si="86"/>
        <v>0</v>
      </c>
      <c r="D165" s="238">
        <f t="shared" si="86"/>
        <v>0</v>
      </c>
      <c r="E165" s="238">
        <f t="shared" si="86"/>
        <v>0</v>
      </c>
      <c r="F165" s="238">
        <f t="shared" si="86"/>
        <v>0</v>
      </c>
      <c r="G165" s="238">
        <f t="shared" si="86"/>
        <v>0</v>
      </c>
      <c r="H165" s="238">
        <f t="shared" si="86"/>
        <v>0</v>
      </c>
    </row>
    <row r="166" spans="1:20" ht="15.75" customHeight="1">
      <c r="A166" s="270" t="str">
        <f t="shared" si="64"/>
        <v>Custard Apple</v>
      </c>
      <c r="B166" s="238">
        <f t="shared" ref="B166:H166" si="87">B114-(B114*$G$7)</f>
        <v>0</v>
      </c>
      <c r="C166" s="238">
        <f t="shared" si="87"/>
        <v>0</v>
      </c>
      <c r="D166" s="238">
        <f t="shared" si="87"/>
        <v>0</v>
      </c>
      <c r="E166" s="238">
        <f t="shared" si="87"/>
        <v>0</v>
      </c>
      <c r="F166" s="238">
        <f t="shared" si="87"/>
        <v>0</v>
      </c>
      <c r="G166" s="238">
        <f t="shared" si="87"/>
        <v>0</v>
      </c>
      <c r="H166" s="238">
        <f t="shared" si="87"/>
        <v>0</v>
      </c>
    </row>
    <row r="167" spans="1:20" ht="15.75" customHeight="1">
      <c r="A167" s="270" t="str">
        <f t="shared" si="64"/>
        <v>Guava</v>
      </c>
      <c r="B167" s="238">
        <f t="shared" ref="B167:H167" si="88">B115-(B115*$G$7)</f>
        <v>0</v>
      </c>
      <c r="C167" s="238">
        <f t="shared" si="88"/>
        <v>0</v>
      </c>
      <c r="D167" s="238">
        <f t="shared" si="88"/>
        <v>0</v>
      </c>
      <c r="E167" s="238">
        <f t="shared" si="88"/>
        <v>0</v>
      </c>
      <c r="F167" s="238">
        <f t="shared" si="88"/>
        <v>0</v>
      </c>
      <c r="G167" s="238">
        <f t="shared" si="88"/>
        <v>0</v>
      </c>
      <c r="H167" s="238">
        <f t="shared" si="88"/>
        <v>0</v>
      </c>
    </row>
    <row r="168" spans="1:20" ht="15.75" customHeight="1">
      <c r="A168" s="270" t="str">
        <f t="shared" si="64"/>
        <v>Citrus</v>
      </c>
      <c r="B168" s="238">
        <f t="shared" ref="B168:H168" si="89">B116-(B116*$G$7)</f>
        <v>0</v>
      </c>
      <c r="C168" s="238">
        <f t="shared" si="89"/>
        <v>0</v>
      </c>
      <c r="D168" s="238">
        <f t="shared" si="89"/>
        <v>0</v>
      </c>
      <c r="E168" s="238">
        <f t="shared" si="89"/>
        <v>0</v>
      </c>
      <c r="F168" s="238">
        <f t="shared" si="89"/>
        <v>0</v>
      </c>
      <c r="G168" s="238">
        <f t="shared" si="89"/>
        <v>0</v>
      </c>
      <c r="H168" s="238">
        <f t="shared" si="89"/>
        <v>0</v>
      </c>
    </row>
    <row r="169" spans="1:20" ht="15.75" customHeight="1">
      <c r="A169" s="73"/>
    </row>
    <row r="170" spans="1:20" ht="15.75" customHeight="1">
      <c r="A170" s="394" t="s">
        <v>587</v>
      </c>
      <c r="B170" s="378"/>
      <c r="C170" s="378"/>
      <c r="D170" s="378"/>
      <c r="E170" s="378"/>
      <c r="F170" s="378"/>
      <c r="G170" s="378"/>
      <c r="H170" s="378"/>
      <c r="I170" s="378"/>
      <c r="J170" s="378"/>
    </row>
    <row r="171" spans="1:20" ht="15.75" customHeight="1">
      <c r="A171" s="26"/>
      <c r="B171" s="26"/>
      <c r="C171" s="26"/>
      <c r="D171" s="26"/>
      <c r="E171" s="26"/>
      <c r="F171" s="26"/>
      <c r="G171" s="26"/>
      <c r="H171" s="26"/>
    </row>
    <row r="172" spans="1:20" ht="15.75" customHeight="1">
      <c r="A172" s="97"/>
      <c r="B172" s="97"/>
      <c r="C172" s="97"/>
      <c r="D172" s="271">
        <v>1</v>
      </c>
      <c r="E172" s="272">
        <f t="shared" ref="E172:J172" si="90">(D172*5%)+D172</f>
        <v>1.05</v>
      </c>
      <c r="F172" s="272">
        <f t="shared" si="90"/>
        <v>1.1025</v>
      </c>
      <c r="G172" s="272">
        <f t="shared" si="90"/>
        <v>1.1576250000000001</v>
      </c>
      <c r="H172" s="272">
        <f t="shared" si="90"/>
        <v>1.2155062500000002</v>
      </c>
      <c r="I172" s="272">
        <f t="shared" si="90"/>
        <v>1.2762815625000004</v>
      </c>
      <c r="J172" s="272">
        <f t="shared" si="90"/>
        <v>1.3400956406250004</v>
      </c>
      <c r="K172" s="73"/>
      <c r="L172" s="73"/>
      <c r="M172" s="73"/>
      <c r="N172" s="73"/>
      <c r="O172" s="73"/>
      <c r="P172" s="73"/>
      <c r="Q172" s="73"/>
      <c r="R172" s="73"/>
      <c r="S172" s="73"/>
      <c r="T172" s="73"/>
    </row>
    <row r="173" spans="1:20" ht="15.75" customHeight="1">
      <c r="A173" s="73"/>
      <c r="B173" s="73"/>
      <c r="C173" s="73"/>
      <c r="D173" s="73"/>
      <c r="E173" s="73"/>
      <c r="F173" s="73"/>
      <c r="G173" s="73"/>
      <c r="H173" s="73"/>
      <c r="I173" s="73"/>
      <c r="J173" s="73"/>
      <c r="K173" s="73"/>
      <c r="L173" s="73"/>
      <c r="M173" s="73"/>
      <c r="N173" s="73"/>
      <c r="O173" s="73"/>
      <c r="P173" s="73"/>
      <c r="Q173" s="73"/>
      <c r="R173" s="73"/>
      <c r="S173" s="73"/>
      <c r="T173" s="73"/>
    </row>
    <row r="174" spans="1:20" ht="15.75" customHeight="1">
      <c r="A174" s="73"/>
      <c r="B174" s="73"/>
      <c r="C174" s="73"/>
      <c r="D174" s="74"/>
      <c r="E174" s="74"/>
      <c r="F174" s="74"/>
      <c r="G174" s="74"/>
      <c r="H174" s="74"/>
      <c r="I174" s="74"/>
      <c r="J174" s="74"/>
      <c r="K174" s="73"/>
      <c r="L174" s="73"/>
    </row>
    <row r="175" spans="1:20" ht="15.75" customHeight="1">
      <c r="A175" s="130" t="s">
        <v>150</v>
      </c>
      <c r="B175" s="130"/>
      <c r="C175" s="130" t="s">
        <v>131</v>
      </c>
      <c r="D175" s="131" t="s">
        <v>153</v>
      </c>
      <c r="E175" s="131" t="s">
        <v>154</v>
      </c>
      <c r="F175" s="131" t="s">
        <v>155</v>
      </c>
      <c r="G175" s="131" t="s">
        <v>156</v>
      </c>
      <c r="H175" s="131" t="s">
        <v>157</v>
      </c>
      <c r="I175" s="131" t="s">
        <v>158</v>
      </c>
      <c r="J175" s="131" t="s">
        <v>159</v>
      </c>
      <c r="K175" s="73"/>
      <c r="L175" s="73"/>
    </row>
    <row r="176" spans="1:20" ht="15.75" customHeight="1">
      <c r="A176" s="81"/>
      <c r="B176" s="81"/>
      <c r="C176" s="81"/>
      <c r="D176" s="78"/>
      <c r="E176" s="78"/>
      <c r="F176" s="78"/>
      <c r="G176" s="78"/>
      <c r="H176" s="78"/>
      <c r="I176" s="78"/>
      <c r="J176" s="78"/>
      <c r="K176" s="73"/>
      <c r="L176" s="73"/>
    </row>
    <row r="177" spans="1:12" ht="15.75" customHeight="1">
      <c r="A177" s="81" t="s">
        <v>350</v>
      </c>
      <c r="B177" s="81"/>
      <c r="C177" s="81"/>
      <c r="D177" s="78"/>
      <c r="E177" s="78"/>
      <c r="F177" s="78"/>
      <c r="G177" s="78"/>
      <c r="H177" s="78"/>
      <c r="I177" s="78"/>
      <c r="J177" s="78"/>
      <c r="K177" s="73"/>
      <c r="L177" s="73"/>
    </row>
    <row r="178" spans="1:12" ht="15.75" customHeight="1">
      <c r="A178" s="270" t="str">
        <f t="shared" ref="A178:A198" si="91">A120</f>
        <v>Soybean</v>
      </c>
      <c r="B178" s="78" t="s">
        <v>588</v>
      </c>
      <c r="C178" s="273"/>
      <c r="D178" s="270">
        <f>(B120*(1-'5.Closing Stock &amp; W Capital'!$D$16))*C$178*D172</f>
        <v>0</v>
      </c>
      <c r="E178" s="270">
        <f>((C120*(1-'5.Closing Stock &amp; W Capital'!$D$16))+(B120*'5.Closing Stock &amp; W Capital'!$D$16))*$C178*E$172</f>
        <v>0</v>
      </c>
      <c r="F178" s="270">
        <f>((D120*(1-'5.Closing Stock &amp; W Capital'!$D$16))+(C120*'5.Closing Stock &amp; W Capital'!$D$16))*$C178*F$172</f>
        <v>0</v>
      </c>
      <c r="G178" s="270">
        <f>((E120*(1-'5.Closing Stock &amp; W Capital'!$D$16))+(D120*'5.Closing Stock &amp; W Capital'!$D$16))*$C178*G$172</f>
        <v>0</v>
      </c>
      <c r="H178" s="270">
        <f>((F120*(1-'5.Closing Stock &amp; W Capital'!$D$16))+(E120*'5.Closing Stock &amp; W Capital'!$D$16))*$C178*H$172</f>
        <v>0</v>
      </c>
      <c r="I178" s="270">
        <f>((G120*(1-'5.Closing Stock &amp; W Capital'!$D$16))+(F120*'5.Closing Stock &amp; W Capital'!$D$16))*$C178*I$172</f>
        <v>0</v>
      </c>
      <c r="J178" s="270">
        <f>((H120*(1-'5.Closing Stock &amp; W Capital'!$D$16))+(G120*'5.Closing Stock &amp; W Capital'!$D$16))*$C178*J$172</f>
        <v>0</v>
      </c>
      <c r="K178" s="73"/>
      <c r="L178" s="73"/>
    </row>
    <row r="179" spans="1:12" ht="15.75" customHeight="1">
      <c r="A179" s="270" t="str">
        <f t="shared" si="91"/>
        <v>Red Gram/Tur</v>
      </c>
      <c r="B179" s="78" t="s">
        <v>588</v>
      </c>
      <c r="C179" s="273">
        <v>6500</v>
      </c>
      <c r="D179" s="270">
        <f>(B121*(1-'5.Closing Stock &amp; W Capital'!$D$16))*$C179*D$172</f>
        <v>30708502.5</v>
      </c>
      <c r="E179" s="270">
        <f>((C121*(1-'5.Closing Stock &amp; W Capital'!$D$16))+(B121*'5.Closing Stock &amp; W Capital'!$D$16))*$C179*E$172</f>
        <v>33763275</v>
      </c>
      <c r="F179" s="270">
        <f>((D121*(1-'5.Closing Stock &amp; W Capital'!$D$16))+(C121*'5.Closing Stock &amp; W Capital'!$D$16))*$C179*F$172</f>
        <v>35451438.75</v>
      </c>
      <c r="G179" s="270">
        <f>((E121*(1-'5.Closing Stock &amp; W Capital'!$D$16))+(D121*'5.Closing Stock &amp; W Capital'!$D$16))*$C179*G$172</f>
        <v>37224010.687500007</v>
      </c>
      <c r="H179" s="270">
        <f>((F121*(1-'5.Closing Stock &amp; W Capital'!$D$16))+(E121*'5.Closing Stock &amp; W Capital'!$D$16))*$C179*H$172</f>
        <v>39085211.221875004</v>
      </c>
      <c r="I179" s="270">
        <f>((G121*(1-'5.Closing Stock &amp; W Capital'!$D$16))+(F121*'5.Closing Stock &amp; W Capital'!$D$16))*$C179*I$172</f>
        <v>41039471.78296876</v>
      </c>
      <c r="J179" s="270">
        <f>((H121*(1-'5.Closing Stock &amp; W Capital'!$D$16))+(G121*'5.Closing Stock &amp; W Capital'!$D$16))*$C179*J$172</f>
        <v>43091445.372117199</v>
      </c>
      <c r="K179" s="73"/>
      <c r="L179" s="73"/>
    </row>
    <row r="180" spans="1:12" ht="15.75" customHeight="1">
      <c r="A180" s="270" t="str">
        <f t="shared" si="91"/>
        <v>Paddy/Rice</v>
      </c>
      <c r="B180" s="78" t="s">
        <v>588</v>
      </c>
      <c r="C180" s="273"/>
      <c r="D180" s="270">
        <f>(B122*(1-'5.Closing Stock &amp; W Capital'!$D$16))*$C180*D$172</f>
        <v>0</v>
      </c>
      <c r="E180" s="270">
        <f>((C122*(1-'5.Closing Stock &amp; W Capital'!$D$16))+(B122*'5.Closing Stock &amp; W Capital'!$D$16))*$C180*E$172</f>
        <v>0</v>
      </c>
      <c r="F180" s="270">
        <f>((D122*(1-'5.Closing Stock &amp; W Capital'!$D$16))+(C122*'5.Closing Stock &amp; W Capital'!$D$16))*$C180*F$172</f>
        <v>0</v>
      </c>
      <c r="G180" s="270">
        <f>((E122*(1-'5.Closing Stock &amp; W Capital'!$D$16))+(D122*'5.Closing Stock &amp; W Capital'!$D$16))*$C180*G$172</f>
        <v>0</v>
      </c>
      <c r="H180" s="270">
        <f>((F122*(1-'5.Closing Stock &amp; W Capital'!$D$16))+(E122*'5.Closing Stock &amp; W Capital'!$D$16))*$C180*H$172</f>
        <v>0</v>
      </c>
      <c r="I180" s="270">
        <f>((G122*(1-'5.Closing Stock &amp; W Capital'!$D$16))+(F122*'5.Closing Stock &amp; W Capital'!$D$16))*$C180*I$172</f>
        <v>0</v>
      </c>
      <c r="J180" s="270">
        <f>((H122*(1-'5.Closing Stock &amp; W Capital'!$D$16))+(G122*'5.Closing Stock &amp; W Capital'!$D$16))*$C180*J$172</f>
        <v>0</v>
      </c>
      <c r="K180" s="73"/>
      <c r="L180" s="73"/>
    </row>
    <row r="181" spans="1:12" ht="15.75" customHeight="1">
      <c r="A181" s="270" t="str">
        <f t="shared" si="91"/>
        <v>Green Gram/ Moong</v>
      </c>
      <c r="B181" s="78" t="s">
        <v>588</v>
      </c>
      <c r="C181" s="273"/>
      <c r="D181" s="270">
        <f>(B123*(1-'5.Closing Stock &amp; W Capital'!$D$16))*$C181*D$172</f>
        <v>0</v>
      </c>
      <c r="E181" s="270">
        <f>((C123*(1-'5.Closing Stock &amp; W Capital'!$D$16))+(B123*'5.Closing Stock &amp; W Capital'!$D$16))*$C181*E$172</f>
        <v>0</v>
      </c>
      <c r="F181" s="270">
        <f>((D123*(1-'5.Closing Stock &amp; W Capital'!$D$16))+(C123*'5.Closing Stock &amp; W Capital'!$D$16))*$C181*F$172</f>
        <v>0</v>
      </c>
      <c r="G181" s="270">
        <f>((E123*(1-'5.Closing Stock &amp; W Capital'!$D$16))+(D123*'5.Closing Stock &amp; W Capital'!$D$16))*$C181*G$172</f>
        <v>0</v>
      </c>
      <c r="H181" s="270">
        <f>((F123*(1-'5.Closing Stock &amp; W Capital'!$D$16))+(E123*'5.Closing Stock &amp; W Capital'!$D$16))*$C181*H$172</f>
        <v>0</v>
      </c>
      <c r="I181" s="270">
        <f>((G123*(1-'5.Closing Stock &amp; W Capital'!$D$16))+(F123*'5.Closing Stock &amp; W Capital'!$D$16))*$C181*I$172</f>
        <v>0</v>
      </c>
      <c r="J181" s="270">
        <f>((H123*(1-'5.Closing Stock &amp; W Capital'!$D$16))+(G123*'5.Closing Stock &amp; W Capital'!$D$16))*$C181*J$172</f>
        <v>0</v>
      </c>
      <c r="K181" s="73"/>
      <c r="L181" s="73"/>
    </row>
    <row r="182" spans="1:12" ht="15.75" customHeight="1">
      <c r="A182" s="270" t="str">
        <f t="shared" si="91"/>
        <v>Maize</v>
      </c>
      <c r="B182" s="78" t="s">
        <v>588</v>
      </c>
      <c r="C182" s="273"/>
      <c r="D182" s="270">
        <f>(B124*(1-'5.Closing Stock &amp; W Capital'!$D$16))*$C182*D$172</f>
        <v>0</v>
      </c>
      <c r="E182" s="270">
        <f>((C124*(1-'5.Closing Stock &amp; W Capital'!$D$16))+(B124*'5.Closing Stock &amp; W Capital'!$D$16))*$C182*E$172</f>
        <v>0</v>
      </c>
      <c r="F182" s="270">
        <f>((D124*(1-'5.Closing Stock &amp; W Capital'!$D$16))+(C124*'5.Closing Stock &amp; W Capital'!$D$16))*$C182*F$172</f>
        <v>0</v>
      </c>
      <c r="G182" s="270">
        <f>((E124*(1-'5.Closing Stock &amp; W Capital'!$D$16))+(D124*'5.Closing Stock &amp; W Capital'!$D$16))*$C182*G$172</f>
        <v>0</v>
      </c>
      <c r="H182" s="270">
        <f>((F124*(1-'5.Closing Stock &amp; W Capital'!$D$16))+(E124*'5.Closing Stock &amp; W Capital'!$D$16))*$C182*H$172</f>
        <v>0</v>
      </c>
      <c r="I182" s="270">
        <f>((G124*(1-'5.Closing Stock &amp; W Capital'!$D$16))+(F124*'5.Closing Stock &amp; W Capital'!$D$16))*$C182*I$172</f>
        <v>0</v>
      </c>
      <c r="J182" s="270">
        <f>((H124*(1-'5.Closing Stock &amp; W Capital'!$D$16))+(G124*'5.Closing Stock &amp; W Capital'!$D$16))*$C182*J$172</f>
        <v>0</v>
      </c>
      <c r="K182" s="73"/>
      <c r="L182" s="73"/>
    </row>
    <row r="183" spans="1:12" ht="15.75" customHeight="1">
      <c r="A183" s="270" t="str">
        <f t="shared" si="91"/>
        <v>Black Gram/Udid</v>
      </c>
      <c r="B183" s="78" t="s">
        <v>588</v>
      </c>
      <c r="C183" s="273"/>
      <c r="D183" s="270">
        <f>(B125*(1-'5.Closing Stock &amp; W Capital'!$D$16))*$C183*D$172</f>
        <v>0</v>
      </c>
      <c r="E183" s="270">
        <f>((C125*(1-'5.Closing Stock &amp; W Capital'!$D$16))+(B125*'5.Closing Stock &amp; W Capital'!$D$16))*$C183*E$172</f>
        <v>0</v>
      </c>
      <c r="F183" s="270">
        <f>((D125*(1-'5.Closing Stock &amp; W Capital'!$D$16))+(C125*'5.Closing Stock &amp; W Capital'!$D$16))*$C183*F$172</f>
        <v>0</v>
      </c>
      <c r="G183" s="270">
        <f>((E125*(1-'5.Closing Stock &amp; W Capital'!$D$16))+(D125*'5.Closing Stock &amp; W Capital'!$D$16))*$C183*G$172</f>
        <v>0</v>
      </c>
      <c r="H183" s="270">
        <f>((F125*(1-'5.Closing Stock &amp; W Capital'!$D$16))+(E125*'5.Closing Stock &amp; W Capital'!$D$16))*$C183*H$172</f>
        <v>0</v>
      </c>
      <c r="I183" s="270">
        <f>((G125*(1-'5.Closing Stock &amp; W Capital'!$D$16))+(F125*'5.Closing Stock &amp; W Capital'!$D$16))*$C183*I$172</f>
        <v>0</v>
      </c>
      <c r="J183" s="270">
        <f>((H125*(1-'5.Closing Stock &amp; W Capital'!$D$16))+(G125*'5.Closing Stock &amp; W Capital'!$D$16))*$C183*J$172</f>
        <v>0</v>
      </c>
      <c r="K183" s="73"/>
      <c r="L183" s="73"/>
    </row>
    <row r="184" spans="1:12" ht="15.75" customHeight="1">
      <c r="A184" s="270" t="str">
        <f t="shared" si="91"/>
        <v>Bajra</v>
      </c>
      <c r="B184" s="78" t="s">
        <v>588</v>
      </c>
      <c r="C184" s="273"/>
      <c r="D184" s="270">
        <f>(B126*(1-'5.Closing Stock &amp; W Capital'!$D$16))*$C184*D$172</f>
        <v>0</v>
      </c>
      <c r="E184" s="270">
        <f>((C126*(1-'5.Closing Stock &amp; W Capital'!$D$16))+(B126*'5.Closing Stock &amp; W Capital'!$D$16))*$C184*E$172</f>
        <v>0</v>
      </c>
      <c r="F184" s="270">
        <f>((D126*(1-'5.Closing Stock &amp; W Capital'!$D$16))+(C126*'5.Closing Stock &amp; W Capital'!$D$16))*$C184*F$172</f>
        <v>0</v>
      </c>
      <c r="G184" s="270">
        <f>((E126*(1-'5.Closing Stock &amp; W Capital'!$D$16))+(D126*'5.Closing Stock &amp; W Capital'!$D$16))*$C184*G$172</f>
        <v>0</v>
      </c>
      <c r="H184" s="270">
        <f>((F126*(1-'5.Closing Stock &amp; W Capital'!$D$16))+(E126*'5.Closing Stock &amp; W Capital'!$D$16))*$C184*H$172</f>
        <v>0</v>
      </c>
      <c r="I184" s="270">
        <f>((G126*(1-'5.Closing Stock &amp; W Capital'!$D$16))+(F126*'5.Closing Stock &amp; W Capital'!$D$16))*$C184*I$172</f>
        <v>0</v>
      </c>
      <c r="J184" s="270">
        <f>((H126*(1-'5.Closing Stock &amp; W Capital'!$D$16))+(G126*'5.Closing Stock &amp; W Capital'!$D$16))*$C184*J$172</f>
        <v>0</v>
      </c>
      <c r="K184" s="73"/>
      <c r="L184" s="73"/>
    </row>
    <row r="185" spans="1:12" ht="15.75" customHeight="1">
      <c r="A185" s="270" t="str">
        <f t="shared" si="91"/>
        <v>Jawar</v>
      </c>
      <c r="B185" s="78" t="s">
        <v>588</v>
      </c>
      <c r="C185" s="273"/>
      <c r="D185" s="270">
        <f>(B127*(1-'5.Closing Stock &amp; W Capital'!$D$16))*$C185*D$172</f>
        <v>0</v>
      </c>
      <c r="E185" s="270">
        <f>((C127*(1-'5.Closing Stock &amp; W Capital'!$D$16))+(B127*'5.Closing Stock &amp; W Capital'!$D$16))*$C185*E$172</f>
        <v>0</v>
      </c>
      <c r="F185" s="270">
        <f>((D127*(1-'5.Closing Stock &amp; W Capital'!$D$16))+(C127*'5.Closing Stock &amp; W Capital'!$D$16))*$C185*F$172</f>
        <v>0</v>
      </c>
      <c r="G185" s="270">
        <f>((E127*(1-'5.Closing Stock &amp; W Capital'!$D$16))+(D127*'5.Closing Stock &amp; W Capital'!$D$16))*$C185*G$172</f>
        <v>0</v>
      </c>
      <c r="H185" s="270">
        <f>((F127*(1-'5.Closing Stock &amp; W Capital'!$D$16))+(E127*'5.Closing Stock &amp; W Capital'!$D$16))*$C185*H$172</f>
        <v>0</v>
      </c>
      <c r="I185" s="270">
        <f>((G127*(1-'5.Closing Stock &amp; W Capital'!$D$16))+(F127*'5.Closing Stock &amp; W Capital'!$D$16))*$C185*I$172</f>
        <v>0</v>
      </c>
      <c r="J185" s="270">
        <f>((H127*(1-'5.Closing Stock &amp; W Capital'!$D$16))+(G127*'5.Closing Stock &amp; W Capital'!$D$16))*$C185*J$172</f>
        <v>0</v>
      </c>
      <c r="K185" s="73"/>
      <c r="L185" s="73"/>
    </row>
    <row r="186" spans="1:12" ht="15.75" customHeight="1">
      <c r="A186" s="270" t="str">
        <f t="shared" si="91"/>
        <v>Sunflower</v>
      </c>
      <c r="B186" s="78" t="s">
        <v>588</v>
      </c>
      <c r="C186" s="273"/>
      <c r="D186" s="270">
        <f>(B128*(1-'5.Closing Stock &amp; W Capital'!$D$16))*$C186*D$172</f>
        <v>0</v>
      </c>
      <c r="E186" s="270">
        <f>((C128*(1-'5.Closing Stock &amp; W Capital'!$D$16))+(B128*'5.Closing Stock &amp; W Capital'!$D$16))*$C186*E$172</f>
        <v>0</v>
      </c>
      <c r="F186" s="270">
        <f>((D128*(1-'5.Closing Stock &amp; W Capital'!$D$16))+(C128*'5.Closing Stock &amp; W Capital'!$D$16))*$C186*F$172</f>
        <v>0</v>
      </c>
      <c r="G186" s="270">
        <f>((E128*(1-'5.Closing Stock &amp; W Capital'!$D$16))+(D128*'5.Closing Stock &amp; W Capital'!$D$16))*$C186*G$172</f>
        <v>0</v>
      </c>
      <c r="H186" s="270">
        <f>((F128*(1-'5.Closing Stock &amp; W Capital'!$D$16))+(E128*'5.Closing Stock &amp; W Capital'!$D$16))*$C186*H$172</f>
        <v>0</v>
      </c>
      <c r="I186" s="270">
        <f>((G128*(1-'5.Closing Stock &amp; W Capital'!$D$16))+(F128*'5.Closing Stock &amp; W Capital'!$D$16))*$C186*I$172</f>
        <v>0</v>
      </c>
      <c r="J186" s="270">
        <f>((H128*(1-'5.Closing Stock &amp; W Capital'!$D$16))+(G128*'5.Closing Stock &amp; W Capital'!$D$16))*$C186*J$172</f>
        <v>0</v>
      </c>
      <c r="K186" s="73"/>
      <c r="L186" s="73"/>
    </row>
    <row r="187" spans="1:12" ht="15.75" customHeight="1">
      <c r="A187" s="270" t="str">
        <f t="shared" si="91"/>
        <v>Wheat</v>
      </c>
      <c r="B187" s="78" t="s">
        <v>588</v>
      </c>
      <c r="C187" s="273"/>
      <c r="D187" s="270">
        <f>(B129*(1-'5.Closing Stock &amp; W Capital'!$D$16))*$C187*D$172</f>
        <v>0</v>
      </c>
      <c r="E187" s="270">
        <f>((C129*(1-'5.Closing Stock &amp; W Capital'!$D$16))+(B129*'5.Closing Stock &amp; W Capital'!$D$16))*$C187*E$172</f>
        <v>0</v>
      </c>
      <c r="F187" s="270">
        <f>((D129*(1-'5.Closing Stock &amp; W Capital'!$D$16))+(C129*'5.Closing Stock &amp; W Capital'!$D$16))*$C187*F$172</f>
        <v>0</v>
      </c>
      <c r="G187" s="270">
        <f>((E129*(1-'5.Closing Stock &amp; W Capital'!$D$16))+(D129*'5.Closing Stock &amp; W Capital'!$D$16))*$C187*G$172</f>
        <v>0</v>
      </c>
      <c r="H187" s="270">
        <f>((F129*(1-'5.Closing Stock &amp; W Capital'!$D$16))+(E129*'5.Closing Stock &amp; W Capital'!$D$16))*$C187*H$172</f>
        <v>0</v>
      </c>
      <c r="I187" s="270">
        <f>((G129*(1-'5.Closing Stock &amp; W Capital'!$D$16))+(F129*'5.Closing Stock &amp; W Capital'!$D$16))*$C187*I$172</f>
        <v>0</v>
      </c>
      <c r="J187" s="270">
        <f>((H129*(1-'5.Closing Stock &amp; W Capital'!$D$16))+(G129*'5.Closing Stock &amp; W Capital'!$D$16))*$C187*J$172</f>
        <v>0</v>
      </c>
      <c r="K187" s="73"/>
      <c r="L187" s="73"/>
    </row>
    <row r="188" spans="1:12" ht="15.75" customHeight="1">
      <c r="A188" s="270" t="str">
        <f t="shared" si="91"/>
        <v>Bengal Gram/Channa</v>
      </c>
      <c r="B188" s="78" t="s">
        <v>588</v>
      </c>
      <c r="C188" s="273">
        <v>5000</v>
      </c>
      <c r="D188" s="270">
        <f>(B130*(1-'5.Closing Stock &amp; W Capital'!$D$16))*$C188*D$172</f>
        <v>14821599.999999998</v>
      </c>
      <c r="E188" s="270">
        <f>((C130*(1-'5.Closing Stock &amp; W Capital'!$D$16))+(B130*'5.Closing Stock &amp; W Capital'!$D$16))*$C188*E$172</f>
        <v>16296000</v>
      </c>
      <c r="F188" s="270">
        <f>((D130*(1-'5.Closing Stock &amp; W Capital'!$D$16))+(C130*'5.Closing Stock &amp; W Capital'!$D$16))*$C188*F$172</f>
        <v>17110800</v>
      </c>
      <c r="G188" s="270">
        <f>((E130*(1-'5.Closing Stock &amp; W Capital'!$D$16))+(D130*'5.Closing Stock &amp; W Capital'!$D$16))*$C188*G$172</f>
        <v>17966340.000000004</v>
      </c>
      <c r="H188" s="270">
        <f>((F130*(1-'5.Closing Stock &amp; W Capital'!$D$16))+(E130*'5.Closing Stock &amp; W Capital'!$D$16))*$C188*H$172</f>
        <v>18864657.000000004</v>
      </c>
      <c r="I188" s="270">
        <f>((G130*(1-'5.Closing Stock &amp; W Capital'!$D$16))+(F130*'5.Closing Stock &amp; W Capital'!$D$16))*$C188*I$172</f>
        <v>19807889.850000005</v>
      </c>
      <c r="J188" s="270">
        <f>((H130*(1-'5.Closing Stock &amp; W Capital'!$D$16))+(G130*'5.Closing Stock &amp; W Capital'!$D$16))*$C188*J$172</f>
        <v>20798284.342500005</v>
      </c>
      <c r="K188" s="73"/>
      <c r="L188" s="73"/>
    </row>
    <row r="189" spans="1:12" ht="15.75" customHeight="1">
      <c r="A189" s="270" t="str">
        <f t="shared" si="91"/>
        <v>Jawar</v>
      </c>
      <c r="B189" s="78" t="s">
        <v>588</v>
      </c>
      <c r="C189" s="273"/>
      <c r="D189" s="270">
        <f>(B131*(1-'5.Closing Stock &amp; W Capital'!$D$16))*$C189*D$172</f>
        <v>0</v>
      </c>
      <c r="E189" s="270">
        <f>((C131*(1-'5.Closing Stock &amp; W Capital'!$D$16))+(B131*'5.Closing Stock &amp; W Capital'!$D$16))*$C189*E$172</f>
        <v>0</v>
      </c>
      <c r="F189" s="270">
        <f>((D131*(1-'5.Closing Stock &amp; W Capital'!$D$16))+(C131*'5.Closing Stock &amp; W Capital'!$D$16))*$C189*F$172</f>
        <v>0</v>
      </c>
      <c r="G189" s="270">
        <f>((E131*(1-'5.Closing Stock &amp; W Capital'!$D$16))+(D131*'5.Closing Stock &amp; W Capital'!$D$16))*$C189*G$172</f>
        <v>0</v>
      </c>
      <c r="H189" s="270">
        <f>((F131*(1-'5.Closing Stock &amp; W Capital'!$D$16))+(E131*'5.Closing Stock &amp; W Capital'!$D$16))*$C189*H$172</f>
        <v>0</v>
      </c>
      <c r="I189" s="270">
        <f>((G131*(1-'5.Closing Stock &amp; W Capital'!$D$16))+(F131*'5.Closing Stock &amp; W Capital'!$D$16))*$C189*I$172</f>
        <v>0</v>
      </c>
      <c r="J189" s="270">
        <f>((H131*(1-'5.Closing Stock &amp; W Capital'!$D$16))+(G131*'5.Closing Stock &amp; W Capital'!$D$16))*$C189*J$172</f>
        <v>0</v>
      </c>
      <c r="K189" s="73"/>
      <c r="L189" s="73"/>
    </row>
    <row r="190" spans="1:12" ht="15.75" customHeight="1">
      <c r="A190" s="270" t="str">
        <f t="shared" si="91"/>
        <v>Maize</v>
      </c>
      <c r="B190" s="78" t="s">
        <v>588</v>
      </c>
      <c r="C190" s="273"/>
      <c r="D190" s="270">
        <f>(B132*(1-'5.Closing Stock &amp; W Capital'!$D$16))*$C190*D$172</f>
        <v>0</v>
      </c>
      <c r="E190" s="270">
        <f>((C132*(1-'5.Closing Stock &amp; W Capital'!$D$16))+(B132*'5.Closing Stock &amp; W Capital'!$D$16))*$C190*E$172</f>
        <v>0</v>
      </c>
      <c r="F190" s="270">
        <f>((D132*(1-'5.Closing Stock &amp; W Capital'!$D$16))+(C132*'5.Closing Stock &amp; W Capital'!$D$16))*$C190*F$172</f>
        <v>0</v>
      </c>
      <c r="G190" s="270">
        <f>((E132*(1-'5.Closing Stock &amp; W Capital'!$D$16))+(D132*'5.Closing Stock &amp; W Capital'!$D$16))*$C190*G$172</f>
        <v>0</v>
      </c>
      <c r="H190" s="270">
        <f>((F132*(1-'5.Closing Stock &amp; W Capital'!$D$16))+(E132*'5.Closing Stock &amp; W Capital'!$D$16))*$C190*H$172</f>
        <v>0</v>
      </c>
      <c r="I190" s="270">
        <f>((G132*(1-'5.Closing Stock &amp; W Capital'!$D$16))+(F132*'5.Closing Stock &amp; W Capital'!$D$16))*$C190*I$172</f>
        <v>0</v>
      </c>
      <c r="J190" s="270">
        <f>((H132*(1-'5.Closing Stock &amp; W Capital'!$D$16))+(G132*'5.Closing Stock &amp; W Capital'!$D$16))*$C190*J$172</f>
        <v>0</v>
      </c>
      <c r="K190" s="73"/>
      <c r="L190" s="73"/>
    </row>
    <row r="191" spans="1:12" ht="15.75" customHeight="1">
      <c r="A191" s="270" t="str">
        <f t="shared" si="91"/>
        <v>Safflower</v>
      </c>
      <c r="B191" s="78" t="s">
        <v>588</v>
      </c>
      <c r="C191" s="273"/>
      <c r="D191" s="270">
        <f>(B133*(1-'5.Closing Stock &amp; W Capital'!$D$16))*$C191*D$172</f>
        <v>0</v>
      </c>
      <c r="E191" s="270">
        <f>((C133*(1-'5.Closing Stock &amp; W Capital'!$D$16))+(B133*'5.Closing Stock &amp; W Capital'!$D$16))*$C191*E$172</f>
        <v>0</v>
      </c>
      <c r="F191" s="270">
        <f>((D133*(1-'5.Closing Stock &amp; W Capital'!$D$16))+(C133*'5.Closing Stock &amp; W Capital'!$D$16))*$C191*F$172</f>
        <v>0</v>
      </c>
      <c r="G191" s="270">
        <f>((E133*(1-'5.Closing Stock &amp; W Capital'!$D$16))+(D133*'5.Closing Stock &amp; W Capital'!$D$16))*$C191*G$172</f>
        <v>0</v>
      </c>
      <c r="H191" s="270">
        <f>((F133*(1-'5.Closing Stock &amp; W Capital'!$D$16))+(E133*'5.Closing Stock &amp; W Capital'!$D$16))*$C191*H$172</f>
        <v>0</v>
      </c>
      <c r="I191" s="270">
        <f>((G133*(1-'5.Closing Stock &amp; W Capital'!$D$16))+(F133*'5.Closing Stock &amp; W Capital'!$D$16))*$C191*I$172</f>
        <v>0</v>
      </c>
      <c r="J191" s="270">
        <f>((H133*(1-'5.Closing Stock &amp; W Capital'!$D$16))+(G133*'5.Closing Stock &amp; W Capital'!$D$16))*$C191*J$172</f>
        <v>0</v>
      </c>
      <c r="K191" s="73"/>
      <c r="L191" s="73"/>
    </row>
    <row r="192" spans="1:12" ht="15.75" customHeight="1">
      <c r="A192" s="270">
        <f t="shared" si="91"/>
        <v>0</v>
      </c>
      <c r="B192" s="78" t="s">
        <v>588</v>
      </c>
      <c r="C192" s="273"/>
      <c r="D192" s="270">
        <f>(B134*(1-'5.Closing Stock &amp; W Capital'!$D$16))*$C192*D$172</f>
        <v>0</v>
      </c>
      <c r="E192" s="270">
        <f>((C134*(1-'5.Closing Stock &amp; W Capital'!$D$16))+(B134*'5.Closing Stock &amp; W Capital'!$D$16))*$C192*E$172</f>
        <v>0</v>
      </c>
      <c r="F192" s="270">
        <f>((D134*(1-'5.Closing Stock &amp; W Capital'!$D$16))+(C134*'5.Closing Stock &amp; W Capital'!$D$16))*$C192*F$172</f>
        <v>0</v>
      </c>
      <c r="G192" s="270">
        <f>((E134*(1-'5.Closing Stock &amp; W Capital'!$D$16))+(D134*'5.Closing Stock &amp; W Capital'!$D$16))*$C192*G$172</f>
        <v>0</v>
      </c>
      <c r="H192" s="270">
        <f>((F134*(1-'5.Closing Stock &amp; W Capital'!$D$16))+(E134*'5.Closing Stock &amp; W Capital'!$D$16))*$C192*H$172</f>
        <v>0</v>
      </c>
      <c r="I192" s="270">
        <f>((G134*(1-'5.Closing Stock &amp; W Capital'!$D$16))+(F134*'5.Closing Stock &amp; W Capital'!$D$16))*$C192*I$172</f>
        <v>0</v>
      </c>
      <c r="J192" s="270">
        <f>((H134*(1-'5.Closing Stock &amp; W Capital'!$D$16))+(G134*'5.Closing Stock &amp; W Capital'!$D$16))*$C192*J$172</f>
        <v>0</v>
      </c>
      <c r="K192" s="73"/>
      <c r="L192" s="73"/>
    </row>
    <row r="193" spans="1:12" ht="15.75" customHeight="1">
      <c r="A193" s="270">
        <f t="shared" si="91"/>
        <v>0</v>
      </c>
      <c r="B193" s="78" t="s">
        <v>588</v>
      </c>
      <c r="C193" s="273"/>
      <c r="D193" s="270">
        <f>(B135*(1-'5.Closing Stock &amp; W Capital'!$D$16))*$C193*D$172</f>
        <v>0</v>
      </c>
      <c r="E193" s="270">
        <f>((C135*(1-'5.Closing Stock &amp; W Capital'!$D$16))+(B135*'5.Closing Stock &amp; W Capital'!$D$16))*$C193*E$172</f>
        <v>0</v>
      </c>
      <c r="F193" s="270">
        <f>((D135*(1-'5.Closing Stock &amp; W Capital'!$D$16))+(C135*'5.Closing Stock &amp; W Capital'!$D$16))*$C193*F$172</f>
        <v>0</v>
      </c>
      <c r="G193" s="270">
        <f>((E135*(1-'5.Closing Stock &amp; W Capital'!$D$16))+(D135*'5.Closing Stock &amp; W Capital'!$D$16))*$C193*G$172</f>
        <v>0</v>
      </c>
      <c r="H193" s="270">
        <f>((F135*(1-'5.Closing Stock &amp; W Capital'!$D$16))+(E135*'5.Closing Stock &amp; W Capital'!$D$16))*$C193*H$172</f>
        <v>0</v>
      </c>
      <c r="I193" s="270">
        <f>((G135*(1-'5.Closing Stock &amp; W Capital'!$D$16))+(F135*'5.Closing Stock &amp; W Capital'!$D$16))*$C193*I$172</f>
        <v>0</v>
      </c>
      <c r="J193" s="270">
        <f>((H135*(1-'5.Closing Stock &amp; W Capital'!$D$16))+(G135*'5.Closing Stock &amp; W Capital'!$D$16))*$C193*J$172</f>
        <v>0</v>
      </c>
      <c r="K193" s="73"/>
      <c r="L193" s="73"/>
    </row>
    <row r="194" spans="1:12" ht="15.75" customHeight="1">
      <c r="A194" s="270">
        <f t="shared" si="91"/>
        <v>0</v>
      </c>
      <c r="B194" s="78" t="s">
        <v>588</v>
      </c>
      <c r="C194" s="273"/>
      <c r="D194" s="270">
        <f>(B136*(1-'5.Closing Stock &amp; W Capital'!$D$16))*$C194*D$172</f>
        <v>0</v>
      </c>
      <c r="E194" s="270">
        <f>((C136*(1-'5.Closing Stock &amp; W Capital'!$D$16))+(B136*'5.Closing Stock &amp; W Capital'!$D$16))*$C194*E$172</f>
        <v>0</v>
      </c>
      <c r="F194" s="270">
        <f>((D136*(1-'5.Closing Stock &amp; W Capital'!$D$16))+(C136*'5.Closing Stock &amp; W Capital'!$D$16))*$C194*F$172</f>
        <v>0</v>
      </c>
      <c r="G194" s="270">
        <f>((E136*(1-'5.Closing Stock &amp; W Capital'!$D$16))+(D136*'5.Closing Stock &amp; W Capital'!$D$16))*$C194*G$172</f>
        <v>0</v>
      </c>
      <c r="H194" s="270">
        <f>((F136*(1-'5.Closing Stock &amp; W Capital'!$D$16))+(E136*'5.Closing Stock &amp; W Capital'!$D$16))*$C194*H$172</f>
        <v>0</v>
      </c>
      <c r="I194" s="270">
        <f>((G136*(1-'5.Closing Stock &amp; W Capital'!$D$16))+(F136*'5.Closing Stock &amp; W Capital'!$D$16))*$C194*I$172</f>
        <v>0</v>
      </c>
      <c r="J194" s="270">
        <f>((H136*(1-'5.Closing Stock &amp; W Capital'!$D$16))+(G136*'5.Closing Stock &amp; W Capital'!$D$16))*$C194*J$172</f>
        <v>0</v>
      </c>
      <c r="K194" s="73"/>
      <c r="L194" s="73"/>
    </row>
    <row r="195" spans="1:12" ht="15.75" customHeight="1">
      <c r="A195" s="270" t="str">
        <f t="shared" si="91"/>
        <v>Groundnut</v>
      </c>
      <c r="B195" s="78" t="s">
        <v>588</v>
      </c>
      <c r="C195" s="273"/>
      <c r="D195" s="270">
        <f>(B137*(1-'5.Closing Stock &amp; W Capital'!$D$16))*$C195*D$172</f>
        <v>0</v>
      </c>
      <c r="E195" s="270">
        <f>((C137*(1-'5.Closing Stock &amp; W Capital'!$D$16))+(B137*'5.Closing Stock &amp; W Capital'!$D$16))*$C195*E$172</f>
        <v>0</v>
      </c>
      <c r="F195" s="270">
        <f>((D137*(1-'5.Closing Stock &amp; W Capital'!$D$16))+(C137*'5.Closing Stock &amp; W Capital'!$D$16))*$C195*F$172</f>
        <v>0</v>
      </c>
      <c r="G195" s="270">
        <f>((E137*(1-'5.Closing Stock &amp; W Capital'!$D$16))+(D137*'5.Closing Stock &amp; W Capital'!$D$16))*$C195*G$172</f>
        <v>0</v>
      </c>
      <c r="H195" s="270">
        <f>((F137*(1-'5.Closing Stock &amp; W Capital'!$D$16))+(E137*'5.Closing Stock &amp; W Capital'!$D$16))*$C195*H$172</f>
        <v>0</v>
      </c>
      <c r="I195" s="270">
        <f>((G137*(1-'5.Closing Stock &amp; W Capital'!$D$16))+(F137*'5.Closing Stock &amp; W Capital'!$D$16))*$C195*I$172</f>
        <v>0</v>
      </c>
      <c r="J195" s="270">
        <f>((H137*(1-'5.Closing Stock &amp; W Capital'!$D$16))+(G137*'5.Closing Stock &amp; W Capital'!$D$16))*$C195*J$172</f>
        <v>0</v>
      </c>
      <c r="K195" s="73"/>
      <c r="L195" s="73"/>
    </row>
    <row r="196" spans="1:12" ht="15.75" customHeight="1">
      <c r="A196" s="270">
        <f t="shared" si="91"/>
        <v>0</v>
      </c>
      <c r="B196" s="78" t="s">
        <v>588</v>
      </c>
      <c r="C196" s="273"/>
      <c r="D196" s="270">
        <f>(B138*(1-'5.Closing Stock &amp; W Capital'!$D$16))*$C196*D$172</f>
        <v>0</v>
      </c>
      <c r="E196" s="270">
        <f>((C138*(1-'5.Closing Stock &amp; W Capital'!$D$16))+(B138*'5.Closing Stock &amp; W Capital'!$D$16))*$C196*E$172</f>
        <v>0</v>
      </c>
      <c r="F196" s="270">
        <f>((D138*(1-'5.Closing Stock &amp; W Capital'!$D$16))+(C138*'5.Closing Stock &amp; W Capital'!$D$16))*$C196*F$172</f>
        <v>0</v>
      </c>
      <c r="G196" s="270">
        <f>((E138*(1-'5.Closing Stock &amp; W Capital'!$D$16))+(D138*'5.Closing Stock &amp; W Capital'!$D$16))*$C196*G$172</f>
        <v>0</v>
      </c>
      <c r="H196" s="270">
        <f>((F138*(1-'5.Closing Stock &amp; W Capital'!$D$16))+(E138*'5.Closing Stock &amp; W Capital'!$D$16))*$C196*H$172</f>
        <v>0</v>
      </c>
      <c r="I196" s="270">
        <f>((G138*(1-'5.Closing Stock &amp; W Capital'!$D$16))+(F138*'5.Closing Stock &amp; W Capital'!$D$16))*$C196*I$172</f>
        <v>0</v>
      </c>
      <c r="J196" s="270">
        <f>((H138*(1-'5.Closing Stock &amp; W Capital'!$D$16))+(G138*'5.Closing Stock &amp; W Capital'!$D$16))*$C196*J$172</f>
        <v>0</v>
      </c>
      <c r="K196" s="73"/>
      <c r="L196" s="73"/>
    </row>
    <row r="197" spans="1:12" ht="15.75" customHeight="1">
      <c r="A197" s="270">
        <f t="shared" si="91"/>
        <v>0</v>
      </c>
      <c r="B197" s="78" t="s">
        <v>588</v>
      </c>
      <c r="C197" s="273"/>
      <c r="D197" s="270">
        <f>(B139*(1-'5.Closing Stock &amp; W Capital'!$D$16))*$C197*D$172</f>
        <v>0</v>
      </c>
      <c r="E197" s="270">
        <f>((C139*(1-'5.Closing Stock &amp; W Capital'!$D$16))+(B139*'5.Closing Stock &amp; W Capital'!$D$16))*$C197*E$172</f>
        <v>0</v>
      </c>
      <c r="F197" s="270">
        <f>((D139*(1-'5.Closing Stock &amp; W Capital'!$D$16))+(C139*'5.Closing Stock &amp; W Capital'!$D$16))*$C197*F$172</f>
        <v>0</v>
      </c>
      <c r="G197" s="270">
        <f>((E139*(1-'5.Closing Stock &amp; W Capital'!$D$16))+(D139*'5.Closing Stock &amp; W Capital'!$D$16))*$C197*G$172</f>
        <v>0</v>
      </c>
      <c r="H197" s="270">
        <f>((F139*(1-'5.Closing Stock &amp; W Capital'!$D$16))+(E139*'5.Closing Stock &amp; W Capital'!$D$16))*$C197*H$172</f>
        <v>0</v>
      </c>
      <c r="I197" s="270">
        <f>((G139*(1-'5.Closing Stock &amp; W Capital'!$D$16))+(F139*'5.Closing Stock &amp; W Capital'!$D$16))*$C197*I$172</f>
        <v>0</v>
      </c>
      <c r="J197" s="270">
        <f>((H139*(1-'5.Closing Stock &amp; W Capital'!$D$16))+(G139*'5.Closing Stock &amp; W Capital'!$D$16))*$C197*J$172</f>
        <v>0</v>
      </c>
      <c r="K197" s="73"/>
      <c r="L197" s="73"/>
    </row>
    <row r="198" spans="1:12" ht="15.75" customHeight="1">
      <c r="A198" s="270">
        <f t="shared" si="91"/>
        <v>0</v>
      </c>
      <c r="B198" s="78" t="s">
        <v>588</v>
      </c>
      <c r="C198" s="273"/>
      <c r="D198" s="270">
        <f>(B140*(1-'5.Closing Stock &amp; W Capital'!$D$16))*$C198*D$172</f>
        <v>0</v>
      </c>
      <c r="E198" s="270">
        <f>((C140*(1-'5.Closing Stock &amp; W Capital'!$D$16))+(B140*'5.Closing Stock &amp; W Capital'!$D$16))*$C198*E$172</f>
        <v>0</v>
      </c>
      <c r="F198" s="270">
        <f>((D140*(1-'5.Closing Stock &amp; W Capital'!$D$16))+(C140*'5.Closing Stock &amp; W Capital'!$D$16))*$C198*F$172</f>
        <v>0</v>
      </c>
      <c r="G198" s="270">
        <f>((E140*(1-'5.Closing Stock &amp; W Capital'!$D$16))+(D140*'5.Closing Stock &amp; W Capital'!$D$16))*$C198*G$172</f>
        <v>0</v>
      </c>
      <c r="H198" s="270">
        <f>((F140*(1-'5.Closing Stock &amp; W Capital'!$D$16))+(E140*'5.Closing Stock &amp; W Capital'!$D$16))*$C198*H$172</f>
        <v>0</v>
      </c>
      <c r="I198" s="270">
        <f>((G140*(1-'5.Closing Stock &amp; W Capital'!$D$16))+(F140*'5.Closing Stock &amp; W Capital'!$D$16))*$C198*I$172</f>
        <v>0</v>
      </c>
      <c r="J198" s="270">
        <f>((H140*(1-'5.Closing Stock &amp; W Capital'!$D$16))+(G140*'5.Closing Stock &amp; W Capital'!$D$16))*$C198*J$172</f>
        <v>0</v>
      </c>
      <c r="K198" s="73"/>
      <c r="L198" s="73"/>
    </row>
    <row r="199" spans="1:12" ht="15.75" customHeight="1">
      <c r="A199" s="78"/>
      <c r="B199" s="78" t="s">
        <v>588</v>
      </c>
      <c r="C199" s="273"/>
      <c r="D199" s="270">
        <f>(B141*(1-'5.Closing Stock &amp; W Capital'!$D$16))*$C199*D$172</f>
        <v>0</v>
      </c>
      <c r="E199" s="270">
        <f>((C141*(1-'5.Closing Stock &amp; W Capital'!$D$16))+(B141*'5.Closing Stock &amp; W Capital'!$D$16))*$C199*E$172</f>
        <v>0</v>
      </c>
      <c r="F199" s="270">
        <f>((D141*(1-'5.Closing Stock &amp; W Capital'!$D$16))+(C141*'5.Closing Stock &amp; W Capital'!$D$16))*$C199*F$172</f>
        <v>0</v>
      </c>
      <c r="G199" s="270">
        <f>((E141*(1-'5.Closing Stock &amp; W Capital'!$D$16))+(D141*'5.Closing Stock &amp; W Capital'!$D$16))*$C199*G$172</f>
        <v>0</v>
      </c>
      <c r="H199" s="270">
        <f>((F141*(1-'5.Closing Stock &amp; W Capital'!$D$16))+(E141*'5.Closing Stock &amp; W Capital'!$D$16))*$C199*H$172</f>
        <v>0</v>
      </c>
      <c r="I199" s="270">
        <f>((G141*(1-'5.Closing Stock &amp; W Capital'!$D$16))+(F141*'5.Closing Stock &amp; W Capital'!$D$16))*$C199*I$172</f>
        <v>0</v>
      </c>
      <c r="J199" s="270">
        <f>((H141*(1-'5.Closing Stock &amp; W Capital'!$D$16))+(G141*'5.Closing Stock &amp; W Capital'!$D$16))*$C199*J$172</f>
        <v>0</v>
      </c>
      <c r="K199" s="73"/>
      <c r="L199" s="73"/>
    </row>
    <row r="200" spans="1:12" ht="15.75" customHeight="1">
      <c r="A200" s="81" t="s">
        <v>589</v>
      </c>
      <c r="B200" s="78" t="s">
        <v>588</v>
      </c>
      <c r="C200" s="55">
        <v>100</v>
      </c>
      <c r="D200" s="270">
        <f t="shared" ref="D200:J200" si="92">B65*$C$200*D172</f>
        <v>415000</v>
      </c>
      <c r="E200" s="270">
        <f t="shared" si="92"/>
        <v>435750</v>
      </c>
      <c r="F200" s="270">
        <f t="shared" si="92"/>
        <v>457537.5</v>
      </c>
      <c r="G200" s="270">
        <f t="shared" si="92"/>
        <v>480414.37500000006</v>
      </c>
      <c r="H200" s="270">
        <f t="shared" si="92"/>
        <v>504435.09375000012</v>
      </c>
      <c r="I200" s="270">
        <f t="shared" si="92"/>
        <v>529656.84843750019</v>
      </c>
      <c r="J200" s="270">
        <f t="shared" si="92"/>
        <v>556139.69085937517</v>
      </c>
      <c r="K200" s="73"/>
      <c r="L200" s="73"/>
    </row>
    <row r="201" spans="1:12" ht="15.75" customHeight="1">
      <c r="A201" s="81"/>
      <c r="B201" s="81"/>
      <c r="C201" s="81"/>
      <c r="D201" s="78"/>
      <c r="E201" s="78"/>
      <c r="F201" s="78"/>
      <c r="G201" s="78"/>
      <c r="H201" s="78"/>
      <c r="I201" s="78"/>
      <c r="J201" s="78"/>
      <c r="K201" s="73"/>
      <c r="L201" s="73"/>
    </row>
    <row r="202" spans="1:12" ht="15.75" customHeight="1">
      <c r="A202" s="266" t="str">
        <f t="shared" ref="A202:A227" si="93">A143</f>
        <v>Fruit  &amp; Vegetables Crop Production Details</v>
      </c>
      <c r="B202" s="81"/>
      <c r="C202" s="81"/>
      <c r="D202" s="78"/>
      <c r="E202" s="78"/>
      <c r="F202" s="78"/>
      <c r="G202" s="78"/>
      <c r="H202" s="78"/>
      <c r="I202" s="78"/>
      <c r="J202" s="78"/>
      <c r="K202" s="73"/>
      <c r="L202" s="73"/>
    </row>
    <row r="203" spans="1:12" ht="15.75" customHeight="1">
      <c r="A203" s="266" t="str">
        <f t="shared" si="93"/>
        <v>Onion</v>
      </c>
      <c r="B203" s="78" t="s">
        <v>588</v>
      </c>
      <c r="C203" s="274"/>
      <c r="D203" s="270">
        <f>(B144*(1-'5.Closing Stock &amp; W Capital'!$D$16))*$C203*D$172</f>
        <v>0</v>
      </c>
      <c r="E203" s="270">
        <f>((C144*(1-'5.Closing Stock &amp; W Capital'!$D$16))+(B144*'5.Closing Stock &amp; W Capital'!$D$16))*$C203*E$172</f>
        <v>0</v>
      </c>
      <c r="F203" s="270">
        <f>((D144*(1-'5.Closing Stock &amp; W Capital'!$D$16))+(C144*'5.Closing Stock &amp; W Capital'!$D$16))*$C203*F$172</f>
        <v>0</v>
      </c>
      <c r="G203" s="270">
        <f>((E144*(1-'5.Closing Stock &amp; W Capital'!$D$16))+(D144*'5.Closing Stock &amp; W Capital'!$D$16))*$C203*G$172</f>
        <v>0</v>
      </c>
      <c r="H203" s="270">
        <f>((F144*(1-'5.Closing Stock &amp; W Capital'!$D$16))+(E144*'5.Closing Stock &amp; W Capital'!$D$16))*$C203*H$172</f>
        <v>0</v>
      </c>
      <c r="I203" s="270">
        <f>((G144*(1-'5.Closing Stock &amp; W Capital'!$D$16))+(F144*'5.Closing Stock &amp; W Capital'!$D$16))*$C203*I$172</f>
        <v>0</v>
      </c>
      <c r="J203" s="270">
        <f>((H144*(1-'5.Closing Stock &amp; W Capital'!$D$16))+(G144*'5.Closing Stock &amp; W Capital'!$D$16))*$C203*J$172</f>
        <v>0</v>
      </c>
      <c r="K203" s="73"/>
      <c r="L203" s="73"/>
    </row>
    <row r="204" spans="1:12" ht="15.75" customHeight="1">
      <c r="A204" s="266" t="str">
        <f t="shared" si="93"/>
        <v>Tomato</v>
      </c>
      <c r="B204" s="78" t="s">
        <v>588</v>
      </c>
      <c r="C204" s="273"/>
      <c r="D204" s="270">
        <f>(B145*(1-'5.Closing Stock &amp; W Capital'!$D$16))*$C204*D$172</f>
        <v>0</v>
      </c>
      <c r="E204" s="270">
        <f>((C145*(1-'5.Closing Stock &amp; W Capital'!$D$16))+(B145*'5.Closing Stock &amp; W Capital'!$D$16))*$C204*E$172</f>
        <v>0</v>
      </c>
      <c r="F204" s="270">
        <f>((D145*(1-'5.Closing Stock &amp; W Capital'!$D$16))+(C145*'5.Closing Stock &amp; W Capital'!$D$16))*$C204*F$172</f>
        <v>0</v>
      </c>
      <c r="G204" s="270">
        <f>((E145*(1-'5.Closing Stock &amp; W Capital'!$D$16))+(D145*'5.Closing Stock &amp; W Capital'!$D$16))*$C204*G$172</f>
        <v>0</v>
      </c>
      <c r="H204" s="270">
        <f>((F145*(1-'5.Closing Stock &amp; W Capital'!$D$16))+(E145*'5.Closing Stock &amp; W Capital'!$D$16))*$C204*H$172</f>
        <v>0</v>
      </c>
      <c r="I204" s="270">
        <f>((G145*(1-'5.Closing Stock &amp; W Capital'!$D$16))+(F145*'5.Closing Stock &amp; W Capital'!$D$16))*$C204*I$172</f>
        <v>0</v>
      </c>
      <c r="J204" s="270">
        <f>((H145*(1-'5.Closing Stock &amp; W Capital'!$D$16))+(G145*'5.Closing Stock &amp; W Capital'!$D$16))*$C204*J$172</f>
        <v>0</v>
      </c>
      <c r="K204" s="73"/>
      <c r="L204" s="73"/>
    </row>
    <row r="205" spans="1:12" ht="15.75" customHeight="1">
      <c r="A205" s="266" t="str">
        <f t="shared" si="93"/>
        <v>Okra</v>
      </c>
      <c r="B205" s="78" t="s">
        <v>588</v>
      </c>
      <c r="C205" s="273"/>
      <c r="D205" s="270">
        <f>(B146*(1-'5.Closing Stock &amp; W Capital'!$D$16))*$C205*D$172</f>
        <v>0</v>
      </c>
      <c r="E205" s="270">
        <f>((C146*(1-'5.Closing Stock &amp; W Capital'!$D$16))+(B146*'5.Closing Stock &amp; W Capital'!$D$16))*$C205*E$172</f>
        <v>0</v>
      </c>
      <c r="F205" s="270">
        <f>((D146*(1-'5.Closing Stock &amp; W Capital'!$D$16))+(C146*'5.Closing Stock &amp; W Capital'!$D$16))*$C205*F$172</f>
        <v>0</v>
      </c>
      <c r="G205" s="270">
        <f>((E146*(1-'5.Closing Stock &amp; W Capital'!$D$16))+(D146*'5.Closing Stock &amp; W Capital'!$D$16))*$C205*G$172</f>
        <v>0</v>
      </c>
      <c r="H205" s="270">
        <f>((F146*(1-'5.Closing Stock &amp; W Capital'!$D$16))+(E146*'5.Closing Stock &amp; W Capital'!$D$16))*$C205*H$172</f>
        <v>0</v>
      </c>
      <c r="I205" s="270">
        <f>((G146*(1-'5.Closing Stock &amp; W Capital'!$D$16))+(F146*'5.Closing Stock &amp; W Capital'!$D$16))*$C205*I$172</f>
        <v>0</v>
      </c>
      <c r="J205" s="270">
        <f>((H146*(1-'5.Closing Stock &amp; W Capital'!$D$16))+(G146*'5.Closing Stock &amp; W Capital'!$D$16))*$C205*J$172</f>
        <v>0</v>
      </c>
      <c r="K205" s="73"/>
      <c r="L205" s="73"/>
    </row>
    <row r="206" spans="1:12" ht="15.75" customHeight="1">
      <c r="A206" s="266" t="str">
        <f t="shared" si="93"/>
        <v>Chilli</v>
      </c>
      <c r="B206" s="78" t="s">
        <v>588</v>
      </c>
      <c r="C206" s="273"/>
      <c r="D206" s="270">
        <f>(B147*(1-'5.Closing Stock &amp; W Capital'!$D$16))*$C206*D$172</f>
        <v>0</v>
      </c>
      <c r="E206" s="270">
        <f>((C147*(1-'5.Closing Stock &amp; W Capital'!$D$16))+(B147*'5.Closing Stock &amp; W Capital'!$D$16))*$C206*E$172</f>
        <v>0</v>
      </c>
      <c r="F206" s="270">
        <f>((D147*(1-'5.Closing Stock &amp; W Capital'!$D$16))+(C147*'5.Closing Stock &amp; W Capital'!$D$16))*$C206*F$172</f>
        <v>0</v>
      </c>
      <c r="G206" s="270">
        <f>((E147*(1-'5.Closing Stock &amp; W Capital'!$D$16))+(D147*'5.Closing Stock &amp; W Capital'!$D$16))*$C206*G$172</f>
        <v>0</v>
      </c>
      <c r="H206" s="270">
        <f>((F147*(1-'5.Closing Stock &amp; W Capital'!$D$16))+(E147*'5.Closing Stock &amp; W Capital'!$D$16))*$C206*H$172</f>
        <v>0</v>
      </c>
      <c r="I206" s="270">
        <f>((G147*(1-'5.Closing Stock &amp; W Capital'!$D$16))+(F147*'5.Closing Stock &amp; W Capital'!$D$16))*$C206*I$172</f>
        <v>0</v>
      </c>
      <c r="J206" s="270">
        <f>((H147*(1-'5.Closing Stock &amp; W Capital'!$D$16))+(G147*'5.Closing Stock &amp; W Capital'!$D$16))*$C206*J$172</f>
        <v>0</v>
      </c>
      <c r="K206" s="73"/>
      <c r="L206" s="73"/>
    </row>
    <row r="207" spans="1:12" ht="15.75" customHeight="1">
      <c r="A207" s="266" t="str">
        <f t="shared" si="93"/>
        <v>Potato</v>
      </c>
      <c r="B207" s="78" t="s">
        <v>588</v>
      </c>
      <c r="C207" s="273"/>
      <c r="D207" s="270">
        <f>(B148*(1-'5.Closing Stock &amp; W Capital'!$D$16))*$C207*D$172</f>
        <v>0</v>
      </c>
      <c r="E207" s="270">
        <f>((C148*(1-'5.Closing Stock &amp; W Capital'!$D$16))+(B148*'5.Closing Stock &amp; W Capital'!$D$16))*$C207*E$172</f>
        <v>0</v>
      </c>
      <c r="F207" s="270">
        <f>((D148*(1-'5.Closing Stock &amp; W Capital'!$D$16))+(C148*'5.Closing Stock &amp; W Capital'!$D$16))*$C207*F$172</f>
        <v>0</v>
      </c>
      <c r="G207" s="270">
        <f>((E148*(1-'5.Closing Stock &amp; W Capital'!$D$16))+(D148*'5.Closing Stock &amp; W Capital'!$D$16))*$C207*G$172</f>
        <v>0</v>
      </c>
      <c r="H207" s="270">
        <f>((F148*(1-'5.Closing Stock &amp; W Capital'!$D$16))+(E148*'5.Closing Stock &amp; W Capital'!$D$16))*$C207*H$172</f>
        <v>0</v>
      </c>
      <c r="I207" s="270">
        <f>((G148*(1-'5.Closing Stock &amp; W Capital'!$D$16))+(F148*'5.Closing Stock &amp; W Capital'!$D$16))*$C207*I$172</f>
        <v>0</v>
      </c>
      <c r="J207" s="270">
        <f>((H148*(1-'5.Closing Stock &amp; W Capital'!$D$16))+(G148*'5.Closing Stock &amp; W Capital'!$D$16))*$C207*J$172</f>
        <v>0</v>
      </c>
      <c r="K207" s="73"/>
      <c r="L207" s="73"/>
    </row>
    <row r="208" spans="1:12" ht="15.75" customHeight="1">
      <c r="A208" s="266">
        <f t="shared" si="93"/>
        <v>0</v>
      </c>
      <c r="B208" s="78" t="s">
        <v>588</v>
      </c>
      <c r="C208" s="55"/>
      <c r="D208" s="270">
        <f>(B149*(1-'5.Closing Stock &amp; W Capital'!$D$16))*$C208*D$172</f>
        <v>0</v>
      </c>
      <c r="E208" s="270">
        <f>((C149*(1-'5.Closing Stock &amp; W Capital'!$D$16))+(B149*'5.Closing Stock &amp; W Capital'!$D$16))*$C208*E$172</f>
        <v>0</v>
      </c>
      <c r="F208" s="270">
        <f>((D149*(1-'5.Closing Stock &amp; W Capital'!$D$16))+(C149*'5.Closing Stock &amp; W Capital'!$D$16))*$C208*F$172</f>
        <v>0</v>
      </c>
      <c r="G208" s="270">
        <f>((E149*(1-'5.Closing Stock &amp; W Capital'!$D$16))+(D149*'5.Closing Stock &amp; W Capital'!$D$16))*$C208*G$172</f>
        <v>0</v>
      </c>
      <c r="H208" s="270">
        <f>((F149*(1-'5.Closing Stock &amp; W Capital'!$D$16))+(E149*'5.Closing Stock &amp; W Capital'!$D$16))*$C208*H$172</f>
        <v>0</v>
      </c>
      <c r="I208" s="270">
        <f>((G149*(1-'5.Closing Stock &amp; W Capital'!$D$16))+(F149*'5.Closing Stock &amp; W Capital'!$D$16))*$C208*I$172</f>
        <v>0</v>
      </c>
      <c r="J208" s="270">
        <f>((H149*(1-'5.Closing Stock &amp; W Capital'!$D$16))+(G149*'5.Closing Stock &amp; W Capital'!$D$16))*$C208*J$172</f>
        <v>0</v>
      </c>
      <c r="K208" s="73"/>
      <c r="L208" s="73"/>
    </row>
    <row r="209" spans="1:12" ht="15.75" customHeight="1">
      <c r="A209" s="266">
        <f t="shared" si="93"/>
        <v>0</v>
      </c>
      <c r="B209" s="78" t="s">
        <v>588</v>
      </c>
      <c r="C209" s="55"/>
      <c r="D209" s="270">
        <f>(B150*(1-'5.Closing Stock &amp; W Capital'!$D$16))*$C209*D$172</f>
        <v>0</v>
      </c>
      <c r="E209" s="270">
        <f>((C150*(1-'5.Closing Stock &amp; W Capital'!$D$16))+(B150*'5.Closing Stock &amp; W Capital'!$D$16))*$C209*E$172</f>
        <v>0</v>
      </c>
      <c r="F209" s="270">
        <f>((D150*(1-'5.Closing Stock &amp; W Capital'!$D$16))+(C150*'5.Closing Stock &amp; W Capital'!$D$16))*$C209*F$172</f>
        <v>0</v>
      </c>
      <c r="G209" s="270">
        <f>((E150*(1-'5.Closing Stock &amp; W Capital'!$D$16))+(D150*'5.Closing Stock &amp; W Capital'!$D$16))*$C209*G$172</f>
        <v>0</v>
      </c>
      <c r="H209" s="270">
        <f>((F150*(1-'5.Closing Stock &amp; W Capital'!$D$16))+(E150*'5.Closing Stock &amp; W Capital'!$D$16))*$C209*H$172</f>
        <v>0</v>
      </c>
      <c r="I209" s="270">
        <f>((G150*(1-'5.Closing Stock &amp; W Capital'!$D$16))+(F150*'5.Closing Stock &amp; W Capital'!$D$16))*$C209*I$172</f>
        <v>0</v>
      </c>
      <c r="J209" s="270">
        <f>((H150*(1-'5.Closing Stock &amp; W Capital'!$D$16))+(G150*'5.Closing Stock &amp; W Capital'!$D$16))*$C209*J$172</f>
        <v>0</v>
      </c>
      <c r="K209" s="73"/>
      <c r="L209" s="73"/>
    </row>
    <row r="210" spans="1:12" ht="15.75" customHeight="1">
      <c r="A210" s="266">
        <f t="shared" si="93"/>
        <v>0</v>
      </c>
      <c r="B210" s="78" t="s">
        <v>588</v>
      </c>
      <c r="C210" s="55"/>
      <c r="D210" s="270">
        <f>(B151*(1-'5.Closing Stock &amp; W Capital'!$D$16))*$C210*D$172</f>
        <v>0</v>
      </c>
      <c r="E210" s="270">
        <f>((C151*(1-'5.Closing Stock &amp; W Capital'!$D$16))+(B151*'5.Closing Stock &amp; W Capital'!$D$16))*$C210*E$172</f>
        <v>0</v>
      </c>
      <c r="F210" s="270">
        <f>((D151*(1-'5.Closing Stock &amp; W Capital'!$D$16))+(C151*'5.Closing Stock &amp; W Capital'!$D$16))*$C210*F$172</f>
        <v>0</v>
      </c>
      <c r="G210" s="270">
        <f>((E151*(1-'5.Closing Stock &amp; W Capital'!$D$16))+(D151*'5.Closing Stock &amp; W Capital'!$D$16))*$C210*G$172</f>
        <v>0</v>
      </c>
      <c r="H210" s="270">
        <f>((F151*(1-'5.Closing Stock &amp; W Capital'!$D$16))+(E151*'5.Closing Stock &amp; W Capital'!$D$16))*$C210*H$172</f>
        <v>0</v>
      </c>
      <c r="I210" s="270">
        <f>((G151*(1-'5.Closing Stock &amp; W Capital'!$D$16))+(F151*'5.Closing Stock &amp; W Capital'!$D$16))*$C210*I$172</f>
        <v>0</v>
      </c>
      <c r="J210" s="270">
        <f>((H151*(1-'5.Closing Stock &amp; W Capital'!$D$16))+(G151*'5.Closing Stock &amp; W Capital'!$D$16))*$C210*J$172</f>
        <v>0</v>
      </c>
      <c r="K210" s="73"/>
      <c r="L210" s="73"/>
    </row>
    <row r="211" spans="1:12" ht="15.75" customHeight="1">
      <c r="A211" s="266">
        <f t="shared" si="93"/>
        <v>0</v>
      </c>
      <c r="B211" s="78" t="s">
        <v>588</v>
      </c>
      <c r="C211" s="55"/>
      <c r="D211" s="270">
        <f>(B152*(1-'5.Closing Stock &amp; W Capital'!$D$16))*$C211*D$172</f>
        <v>0</v>
      </c>
      <c r="E211" s="270">
        <f>((C152*(1-'5.Closing Stock &amp; W Capital'!$D$16))+(B152*'5.Closing Stock &amp; W Capital'!$D$16))*$C211*E$172</f>
        <v>0</v>
      </c>
      <c r="F211" s="270">
        <f>((D152*(1-'5.Closing Stock &amp; W Capital'!$D$16))+(C152*'5.Closing Stock &amp; W Capital'!$D$16))*$C211*F$172</f>
        <v>0</v>
      </c>
      <c r="G211" s="270">
        <f>((E152*(1-'5.Closing Stock &amp; W Capital'!$D$16))+(D152*'5.Closing Stock &amp; W Capital'!$D$16))*$C211*G$172</f>
        <v>0</v>
      </c>
      <c r="H211" s="270">
        <f>((F152*(1-'5.Closing Stock &amp; W Capital'!$D$16))+(E152*'5.Closing Stock &amp; W Capital'!$D$16))*$C211*H$172</f>
        <v>0</v>
      </c>
      <c r="I211" s="270">
        <f>((G152*(1-'5.Closing Stock &amp; W Capital'!$D$16))+(F152*'5.Closing Stock &amp; W Capital'!$D$16))*$C211*I$172</f>
        <v>0</v>
      </c>
      <c r="J211" s="270">
        <f>((H152*(1-'5.Closing Stock &amp; W Capital'!$D$16))+(G152*'5.Closing Stock &amp; W Capital'!$D$16))*$C211*J$172</f>
        <v>0</v>
      </c>
      <c r="K211" s="73"/>
      <c r="L211" s="73"/>
    </row>
    <row r="212" spans="1:12" ht="15.75" customHeight="1">
      <c r="A212" s="266" t="str">
        <f t="shared" si="93"/>
        <v>Onion</v>
      </c>
      <c r="B212" s="78" t="s">
        <v>588</v>
      </c>
      <c r="C212" s="273"/>
      <c r="D212" s="270">
        <f>(B153*(1-'5.Closing Stock &amp; W Capital'!$D$16))*$C212*D$172</f>
        <v>0</v>
      </c>
      <c r="E212" s="270">
        <f>((C153*(1-'5.Closing Stock &amp; W Capital'!$D$16))+(B153*'5.Closing Stock &amp; W Capital'!$D$16))*$C212*E$172</f>
        <v>0</v>
      </c>
      <c r="F212" s="270">
        <f>((D153*(1-'5.Closing Stock &amp; W Capital'!$D$16))+(C153*'5.Closing Stock &amp; W Capital'!$D$16))*$C212*F$172</f>
        <v>0</v>
      </c>
      <c r="G212" s="270">
        <f>((E153*(1-'5.Closing Stock &amp; W Capital'!$D$16))+(D153*'5.Closing Stock &amp; W Capital'!$D$16))*$C212*G$172</f>
        <v>0</v>
      </c>
      <c r="H212" s="270">
        <f>((F153*(1-'5.Closing Stock &amp; W Capital'!$D$16))+(E153*'5.Closing Stock &amp; W Capital'!$D$16))*$C212*H$172</f>
        <v>0</v>
      </c>
      <c r="I212" s="270">
        <f>((G153*(1-'5.Closing Stock &amp; W Capital'!$D$16))+(F153*'5.Closing Stock &amp; W Capital'!$D$16))*$C212*I$172</f>
        <v>0</v>
      </c>
      <c r="J212" s="270">
        <f>((H153*(1-'5.Closing Stock &amp; W Capital'!$D$16))+(G153*'5.Closing Stock &amp; W Capital'!$D$16))*$C212*J$172</f>
        <v>0</v>
      </c>
      <c r="K212" s="73"/>
      <c r="L212" s="73"/>
    </row>
    <row r="213" spans="1:12" ht="15.75" customHeight="1">
      <c r="A213" s="266" t="str">
        <f t="shared" si="93"/>
        <v>Tomato</v>
      </c>
      <c r="B213" s="78" t="s">
        <v>588</v>
      </c>
      <c r="C213" s="273"/>
      <c r="D213" s="270">
        <f>(B154*(1-'5.Closing Stock &amp; W Capital'!$D$16))*$C213*D$172</f>
        <v>0</v>
      </c>
      <c r="E213" s="270">
        <f>((C154*(1-'5.Closing Stock &amp; W Capital'!$D$16))+(B154*'5.Closing Stock &amp; W Capital'!$D$16))*$C213*E$172</f>
        <v>0</v>
      </c>
      <c r="F213" s="270">
        <f>((D154*(1-'5.Closing Stock &amp; W Capital'!$D$16))+(C154*'5.Closing Stock &amp; W Capital'!$D$16))*$C213*F$172</f>
        <v>0</v>
      </c>
      <c r="G213" s="270">
        <f>((E154*(1-'5.Closing Stock &amp; W Capital'!$D$16))+(D154*'5.Closing Stock &amp; W Capital'!$D$16))*$C213*G$172</f>
        <v>0</v>
      </c>
      <c r="H213" s="270">
        <f>((F154*(1-'5.Closing Stock &amp; W Capital'!$D$16))+(E154*'5.Closing Stock &amp; W Capital'!$D$16))*$C213*H$172</f>
        <v>0</v>
      </c>
      <c r="I213" s="270">
        <f>((G154*(1-'5.Closing Stock &amp; W Capital'!$D$16))+(F154*'5.Closing Stock &amp; W Capital'!$D$16))*$C213*I$172</f>
        <v>0</v>
      </c>
      <c r="J213" s="270">
        <f>((H154*(1-'5.Closing Stock &amp; W Capital'!$D$16))+(G154*'5.Closing Stock &amp; W Capital'!$D$16))*$C213*J$172</f>
        <v>0</v>
      </c>
      <c r="K213" s="73"/>
      <c r="L213" s="73"/>
    </row>
    <row r="214" spans="1:12" ht="15.75" customHeight="1">
      <c r="A214" s="266" t="str">
        <f t="shared" si="93"/>
        <v>Okra</v>
      </c>
      <c r="B214" s="78" t="s">
        <v>588</v>
      </c>
      <c r="C214" s="273"/>
      <c r="D214" s="270">
        <f>(B155*(1-'5.Closing Stock &amp; W Capital'!$D$16))*$C214*D$172</f>
        <v>0</v>
      </c>
      <c r="E214" s="270">
        <f>((C155*(1-'5.Closing Stock &amp; W Capital'!$D$16))+(B155*'5.Closing Stock &amp; W Capital'!$D$16))*$C214*E$172</f>
        <v>0</v>
      </c>
      <c r="F214" s="270">
        <f>((D155*(1-'5.Closing Stock &amp; W Capital'!$D$16))+(C155*'5.Closing Stock &amp; W Capital'!$D$16))*$C214*F$172</f>
        <v>0</v>
      </c>
      <c r="G214" s="270">
        <f>((E155*(1-'5.Closing Stock &amp; W Capital'!$D$16))+(D155*'5.Closing Stock &amp; W Capital'!$D$16))*$C214*G$172</f>
        <v>0</v>
      </c>
      <c r="H214" s="270">
        <f>((F155*(1-'5.Closing Stock &amp; W Capital'!$D$16))+(E155*'5.Closing Stock &amp; W Capital'!$D$16))*$C214*H$172</f>
        <v>0</v>
      </c>
      <c r="I214" s="270">
        <f>((G155*(1-'5.Closing Stock &amp; W Capital'!$D$16))+(F155*'5.Closing Stock &amp; W Capital'!$D$16))*$C214*I$172</f>
        <v>0</v>
      </c>
      <c r="J214" s="270">
        <f>((H155*(1-'5.Closing Stock &amp; W Capital'!$D$16))+(G155*'5.Closing Stock &amp; W Capital'!$D$16))*$C214*J$172</f>
        <v>0</v>
      </c>
      <c r="K214" s="73"/>
      <c r="L214" s="73"/>
    </row>
    <row r="215" spans="1:12" ht="15.75" customHeight="1">
      <c r="A215" s="266" t="str">
        <f t="shared" si="93"/>
        <v>Chilli</v>
      </c>
      <c r="B215" s="78" t="s">
        <v>588</v>
      </c>
      <c r="C215" s="273"/>
      <c r="D215" s="270">
        <f>(B156*(1-'5.Closing Stock &amp; W Capital'!$D$16))*$C215*D$172</f>
        <v>0</v>
      </c>
      <c r="E215" s="270">
        <f>((C156*(1-'5.Closing Stock &amp; W Capital'!$D$16))+(B156*'5.Closing Stock &amp; W Capital'!$D$16))*$C215*E$172</f>
        <v>0</v>
      </c>
      <c r="F215" s="270">
        <f>((D156*(1-'5.Closing Stock &amp; W Capital'!$D$16))+(C156*'5.Closing Stock &amp; W Capital'!$D$16))*$C215*F$172</f>
        <v>0</v>
      </c>
      <c r="G215" s="270">
        <f>((E156*(1-'5.Closing Stock &amp; W Capital'!$D$16))+(D156*'5.Closing Stock &amp; W Capital'!$D$16))*$C215*G$172</f>
        <v>0</v>
      </c>
      <c r="H215" s="270">
        <f>((F156*(1-'5.Closing Stock &amp; W Capital'!$D$16))+(E156*'5.Closing Stock &amp; W Capital'!$D$16))*$C215*H$172</f>
        <v>0</v>
      </c>
      <c r="I215" s="270">
        <f>((G156*(1-'5.Closing Stock &amp; W Capital'!$D$16))+(F156*'5.Closing Stock &amp; W Capital'!$D$16))*$C215*I$172</f>
        <v>0</v>
      </c>
      <c r="J215" s="270">
        <f>((H156*(1-'5.Closing Stock &amp; W Capital'!$D$16))+(G156*'5.Closing Stock &amp; W Capital'!$D$16))*$C215*J$172</f>
        <v>0</v>
      </c>
      <c r="K215" s="73"/>
      <c r="L215" s="73"/>
    </row>
    <row r="216" spans="1:12" ht="15.75" customHeight="1">
      <c r="A216" s="266" t="str">
        <f t="shared" si="93"/>
        <v>Brinjal</v>
      </c>
      <c r="B216" s="78" t="s">
        <v>588</v>
      </c>
      <c r="C216" s="273"/>
      <c r="D216" s="270">
        <f>(B157*(1-'5.Closing Stock &amp; W Capital'!$D$16))*$C216*D$172</f>
        <v>0</v>
      </c>
      <c r="E216" s="270">
        <f>((C157*(1-'5.Closing Stock &amp; W Capital'!$D$16))+(B157*'5.Closing Stock &amp; W Capital'!$D$16))*$C216*E$172</f>
        <v>0</v>
      </c>
      <c r="F216" s="270">
        <f>((D157*(1-'5.Closing Stock &amp; W Capital'!$D$16))+(C157*'5.Closing Stock &amp; W Capital'!$D$16))*$C216*F$172</f>
        <v>0</v>
      </c>
      <c r="G216" s="270">
        <f>((E157*(1-'5.Closing Stock &amp; W Capital'!$D$16))+(D157*'5.Closing Stock &amp; W Capital'!$D$16))*$C216*G$172</f>
        <v>0</v>
      </c>
      <c r="H216" s="270">
        <f>((F157*(1-'5.Closing Stock &amp; W Capital'!$D$16))+(E157*'5.Closing Stock &amp; W Capital'!$D$16))*$C216*H$172</f>
        <v>0</v>
      </c>
      <c r="I216" s="270">
        <f>((G157*(1-'5.Closing Stock &amp; W Capital'!$D$16))+(F157*'5.Closing Stock &amp; W Capital'!$D$16))*$C216*I$172</f>
        <v>0</v>
      </c>
      <c r="J216" s="270">
        <f>((H157*(1-'5.Closing Stock &amp; W Capital'!$D$16))+(G157*'5.Closing Stock &amp; W Capital'!$D$16))*$C216*J$172</f>
        <v>0</v>
      </c>
      <c r="K216" s="73"/>
      <c r="L216" s="73"/>
    </row>
    <row r="217" spans="1:12" ht="15.75" customHeight="1">
      <c r="A217" s="266">
        <f t="shared" si="93"/>
        <v>0</v>
      </c>
      <c r="B217" s="78" t="s">
        <v>588</v>
      </c>
      <c r="C217" s="273"/>
      <c r="D217" s="270">
        <f>(B158*(1-'5.Closing Stock &amp; W Capital'!$D$16))*$C217*D$172</f>
        <v>0</v>
      </c>
      <c r="E217" s="270">
        <f>((C158*(1-'5.Closing Stock &amp; W Capital'!$D$16))+(B158*'5.Closing Stock &amp; W Capital'!$D$16))*$C217*E$172</f>
        <v>0</v>
      </c>
      <c r="F217" s="270">
        <f>((D158*(1-'5.Closing Stock &amp; W Capital'!$D$16))+(C158*'5.Closing Stock &amp; W Capital'!$D$16))*$C217*F$172</f>
        <v>0</v>
      </c>
      <c r="G217" s="270">
        <f>((E158*(1-'5.Closing Stock &amp; W Capital'!$D$16))+(D158*'5.Closing Stock &amp; W Capital'!$D$16))*$C217*G$172</f>
        <v>0</v>
      </c>
      <c r="H217" s="270">
        <f>((F158*(1-'5.Closing Stock &amp; W Capital'!$D$16))+(E158*'5.Closing Stock &amp; W Capital'!$D$16))*$C217*H$172</f>
        <v>0</v>
      </c>
      <c r="I217" s="270">
        <f>((G158*(1-'5.Closing Stock &amp; W Capital'!$D$16))+(F158*'5.Closing Stock &amp; W Capital'!$D$16))*$C217*I$172</f>
        <v>0</v>
      </c>
      <c r="J217" s="270">
        <f>((H158*(1-'5.Closing Stock &amp; W Capital'!$D$16))+(G158*'5.Closing Stock &amp; W Capital'!$D$16))*$C217*J$172</f>
        <v>0</v>
      </c>
      <c r="K217" s="73"/>
      <c r="L217" s="73"/>
    </row>
    <row r="218" spans="1:12" ht="15.75" customHeight="1">
      <c r="A218" s="266">
        <f t="shared" si="93"/>
        <v>0</v>
      </c>
      <c r="B218" s="78" t="s">
        <v>588</v>
      </c>
      <c r="C218" s="273"/>
      <c r="D218" s="270">
        <f>(B159*(1-'5.Closing Stock &amp; W Capital'!$D$16))*$C218*D$172</f>
        <v>0</v>
      </c>
      <c r="E218" s="270">
        <f>((C159*(1-'5.Closing Stock &amp; W Capital'!$D$16))+(B159*'5.Closing Stock &amp; W Capital'!$D$16))*$C218*E$172</f>
        <v>0</v>
      </c>
      <c r="F218" s="270">
        <f>((D159*(1-'5.Closing Stock &amp; W Capital'!$D$16))+(C159*'5.Closing Stock &amp; W Capital'!$D$16))*$C218*F$172</f>
        <v>0</v>
      </c>
      <c r="G218" s="270">
        <f>((E159*(1-'5.Closing Stock &amp; W Capital'!$D$16))+(D159*'5.Closing Stock &amp; W Capital'!$D$16))*$C218*G$172</f>
        <v>0</v>
      </c>
      <c r="H218" s="270">
        <f>((F159*(1-'5.Closing Stock &amp; W Capital'!$D$16))+(E159*'5.Closing Stock &amp; W Capital'!$D$16))*$C218*H$172</f>
        <v>0</v>
      </c>
      <c r="I218" s="270">
        <f>((G159*(1-'5.Closing Stock &amp; W Capital'!$D$16))+(F159*'5.Closing Stock &amp; W Capital'!$D$16))*$C218*I$172</f>
        <v>0</v>
      </c>
      <c r="J218" s="270">
        <f>((H159*(1-'5.Closing Stock &amp; W Capital'!$D$16))+(G159*'5.Closing Stock &amp; W Capital'!$D$16))*$C218*J$172</f>
        <v>0</v>
      </c>
      <c r="K218" s="73"/>
      <c r="L218" s="73"/>
    </row>
    <row r="219" spans="1:12" ht="15.75" customHeight="1">
      <c r="A219" s="266">
        <f t="shared" si="93"/>
        <v>0</v>
      </c>
      <c r="B219" s="78" t="s">
        <v>588</v>
      </c>
      <c r="C219" s="273"/>
      <c r="D219" s="270">
        <f>(B160*(1-'5.Closing Stock &amp; W Capital'!$D$16))*$C219*D$172</f>
        <v>0</v>
      </c>
      <c r="E219" s="270">
        <f>((C160*(1-'5.Closing Stock &amp; W Capital'!$D$16))+(B160*'5.Closing Stock &amp; W Capital'!$D$16))*$C219*E$172</f>
        <v>0</v>
      </c>
      <c r="F219" s="270">
        <f>((D160*(1-'5.Closing Stock &amp; W Capital'!$D$16))+(C160*'5.Closing Stock &amp; W Capital'!$D$16))*$C219*F$172</f>
        <v>0</v>
      </c>
      <c r="G219" s="270">
        <f>((E160*(1-'5.Closing Stock &amp; W Capital'!$D$16))+(D160*'5.Closing Stock &amp; W Capital'!$D$16))*$C219*G$172</f>
        <v>0</v>
      </c>
      <c r="H219" s="270">
        <f>((F160*(1-'5.Closing Stock &amp; W Capital'!$D$16))+(E160*'5.Closing Stock &amp; W Capital'!$D$16))*$C219*H$172</f>
        <v>0</v>
      </c>
      <c r="I219" s="270">
        <f>((G160*(1-'5.Closing Stock &amp; W Capital'!$D$16))+(F160*'5.Closing Stock &amp; W Capital'!$D$16))*$C219*I$172</f>
        <v>0</v>
      </c>
      <c r="J219" s="270">
        <f>((H160*(1-'5.Closing Stock &amp; W Capital'!$D$16))+(G160*'5.Closing Stock &amp; W Capital'!$D$16))*$C219*J$172</f>
        <v>0</v>
      </c>
      <c r="K219" s="73"/>
      <c r="L219" s="73"/>
    </row>
    <row r="220" spans="1:12" ht="15.75" customHeight="1">
      <c r="A220" s="266">
        <f t="shared" si="93"/>
        <v>0</v>
      </c>
      <c r="B220" s="78" t="s">
        <v>588</v>
      </c>
      <c r="C220" s="273"/>
      <c r="D220" s="270">
        <f>(B161*(1-'5.Closing Stock &amp; W Capital'!$D$16))*$C220*D$172</f>
        <v>0</v>
      </c>
      <c r="E220" s="270">
        <f>((C161*(1-'5.Closing Stock &amp; W Capital'!$D$16))+(B161*'5.Closing Stock &amp; W Capital'!$D$16))*$C220*E$172</f>
        <v>0</v>
      </c>
      <c r="F220" s="270">
        <f>((D161*(1-'5.Closing Stock &amp; W Capital'!$D$16))+(C161*'5.Closing Stock &amp; W Capital'!$D$16))*$C220*F$172</f>
        <v>0</v>
      </c>
      <c r="G220" s="270">
        <f>((E161*(1-'5.Closing Stock &amp; W Capital'!$D$16))+(D161*'5.Closing Stock &amp; W Capital'!$D$16))*$C220*G$172</f>
        <v>0</v>
      </c>
      <c r="H220" s="270">
        <f>((F161*(1-'5.Closing Stock &amp; W Capital'!$D$16))+(E161*'5.Closing Stock &amp; W Capital'!$D$16))*$C220*H$172</f>
        <v>0</v>
      </c>
      <c r="I220" s="270">
        <f>((G161*(1-'5.Closing Stock &amp; W Capital'!$D$16))+(F161*'5.Closing Stock &amp; W Capital'!$D$16))*$C220*I$172</f>
        <v>0</v>
      </c>
      <c r="J220" s="270">
        <f>((H161*(1-'5.Closing Stock &amp; W Capital'!$D$16))+(G161*'5.Closing Stock &amp; W Capital'!$D$16))*$C220*J$172</f>
        <v>0</v>
      </c>
      <c r="K220" s="73"/>
      <c r="L220" s="73"/>
    </row>
    <row r="221" spans="1:12" ht="15.75" customHeight="1">
      <c r="A221" s="266">
        <f t="shared" si="93"/>
        <v>0</v>
      </c>
      <c r="B221" s="78" t="s">
        <v>588</v>
      </c>
      <c r="C221" s="273"/>
      <c r="D221" s="270">
        <f>(B162*(1-'5.Closing Stock &amp; W Capital'!$D$16))*$C221*D$172</f>
        <v>0</v>
      </c>
      <c r="E221" s="270">
        <f>((C162*(1-'5.Closing Stock &amp; W Capital'!$D$16))+(B162*'5.Closing Stock &amp; W Capital'!$D$16))*$C221*E$172</f>
        <v>0</v>
      </c>
      <c r="F221" s="270">
        <f>((D162*(1-'5.Closing Stock &amp; W Capital'!$D$16))+(C162*'5.Closing Stock &amp; W Capital'!$D$16))*$C221*F$172</f>
        <v>0</v>
      </c>
      <c r="G221" s="270">
        <f>((E162*(1-'5.Closing Stock &amp; W Capital'!$D$16))+(D162*'5.Closing Stock &amp; W Capital'!$D$16))*$C221*G$172</f>
        <v>0</v>
      </c>
      <c r="H221" s="270">
        <f>((F162*(1-'5.Closing Stock &amp; W Capital'!$D$16))+(E162*'5.Closing Stock &amp; W Capital'!$D$16))*$C221*H$172</f>
        <v>0</v>
      </c>
      <c r="I221" s="270">
        <f>((G162*(1-'5.Closing Stock &amp; W Capital'!$D$16))+(F162*'5.Closing Stock &amp; W Capital'!$D$16))*$C221*I$172</f>
        <v>0</v>
      </c>
      <c r="J221" s="270">
        <f>((H162*(1-'5.Closing Stock &amp; W Capital'!$D$16))+(G162*'5.Closing Stock &amp; W Capital'!$D$16))*$C221*J$172</f>
        <v>0</v>
      </c>
      <c r="K221" s="73"/>
      <c r="L221" s="73"/>
    </row>
    <row r="222" spans="1:12" ht="15.75" customHeight="1">
      <c r="A222" s="266">
        <f t="shared" si="93"/>
        <v>0</v>
      </c>
      <c r="B222" s="78" t="s">
        <v>588</v>
      </c>
      <c r="C222" s="273"/>
      <c r="D222" s="270">
        <f>(B163*(1-'5.Closing Stock &amp; W Capital'!$D$16))*$C222*D$172</f>
        <v>0</v>
      </c>
      <c r="E222" s="270">
        <f>((C163*(1-'5.Closing Stock &amp; W Capital'!$D$16))+(B163*'5.Closing Stock &amp; W Capital'!$D$16))*$C222*E$172</f>
        <v>0</v>
      </c>
      <c r="F222" s="270">
        <f>((D163*(1-'5.Closing Stock &amp; W Capital'!$D$16))+(C163*'5.Closing Stock &amp; W Capital'!$D$16))*$C222*F$172</f>
        <v>0</v>
      </c>
      <c r="G222" s="270">
        <f>((E163*(1-'5.Closing Stock &amp; W Capital'!$D$16))+(D163*'5.Closing Stock &amp; W Capital'!$D$16))*$C222*G$172</f>
        <v>0</v>
      </c>
      <c r="H222" s="270">
        <f>((F163*(1-'5.Closing Stock &amp; W Capital'!$D$16))+(E163*'5.Closing Stock &amp; W Capital'!$D$16))*$C222*H$172</f>
        <v>0</v>
      </c>
      <c r="I222" s="270">
        <f>((G163*(1-'5.Closing Stock &amp; W Capital'!$D$16))+(F163*'5.Closing Stock &amp; W Capital'!$D$16))*$C222*I$172</f>
        <v>0</v>
      </c>
      <c r="J222" s="270">
        <f>((H163*(1-'5.Closing Stock &amp; W Capital'!$D$16))+(G163*'5.Closing Stock &amp; W Capital'!$D$16))*$C222*J$172</f>
        <v>0</v>
      </c>
      <c r="K222" s="73"/>
      <c r="L222" s="73"/>
    </row>
    <row r="223" spans="1:12" ht="15.75" customHeight="1">
      <c r="A223" s="266">
        <f t="shared" si="93"/>
        <v>0</v>
      </c>
      <c r="B223" s="78" t="s">
        <v>588</v>
      </c>
      <c r="C223" s="273"/>
      <c r="D223" s="270">
        <f>(B164*(1-'5.Closing Stock &amp; W Capital'!$D$16))*$C223*D$172</f>
        <v>0</v>
      </c>
      <c r="E223" s="270">
        <f>((C164*(1-'5.Closing Stock &amp; W Capital'!$D$16))+(B164*'5.Closing Stock &amp; W Capital'!$D$16))*$C223*E$172</f>
        <v>0</v>
      </c>
      <c r="F223" s="270">
        <f>((D164*(1-'5.Closing Stock &amp; W Capital'!$D$16))+(C164*'5.Closing Stock &amp; W Capital'!$D$16))*$C223*F$172</f>
        <v>0</v>
      </c>
      <c r="G223" s="270">
        <f>((E164*(1-'5.Closing Stock &amp; W Capital'!$D$16))+(D164*'5.Closing Stock &amp; W Capital'!$D$16))*$C223*G$172</f>
        <v>0</v>
      </c>
      <c r="H223" s="270">
        <f>((F164*(1-'5.Closing Stock &amp; W Capital'!$D$16))+(E164*'5.Closing Stock &amp; W Capital'!$D$16))*$C223*H$172</f>
        <v>0</v>
      </c>
      <c r="I223" s="270">
        <f>((G164*(1-'5.Closing Stock &amp; W Capital'!$D$16))+(F164*'5.Closing Stock &amp; W Capital'!$D$16))*$C223*I$172</f>
        <v>0</v>
      </c>
      <c r="J223" s="270">
        <f>((H164*(1-'5.Closing Stock &amp; W Capital'!$D$16))+(G164*'5.Closing Stock &amp; W Capital'!$D$16))*$C223*J$172</f>
        <v>0</v>
      </c>
      <c r="K223" s="73"/>
      <c r="L223" s="73"/>
    </row>
    <row r="224" spans="1:12" ht="15.75" customHeight="1">
      <c r="A224" s="266" t="str">
        <f t="shared" si="93"/>
        <v>Pomegranate</v>
      </c>
      <c r="B224" s="78" t="s">
        <v>588</v>
      </c>
      <c r="C224" s="273"/>
      <c r="D224" s="270">
        <f>(B165*(1-'5.Closing Stock &amp; W Capital'!$D$16))*$C224*D$172</f>
        <v>0</v>
      </c>
      <c r="E224" s="270">
        <f>((C165*(1-'5.Closing Stock &amp; W Capital'!$D$16))+(B165*'5.Closing Stock &amp; W Capital'!$D$16))*$C224*E$172</f>
        <v>0</v>
      </c>
      <c r="F224" s="270">
        <f>((D165*(1-'5.Closing Stock &amp; W Capital'!$D$16))+(C165*'5.Closing Stock &amp; W Capital'!$D$16))*$C224*F$172</f>
        <v>0</v>
      </c>
      <c r="G224" s="270">
        <f>((E165*(1-'5.Closing Stock &amp; W Capital'!$D$16))+(D165*'5.Closing Stock &amp; W Capital'!$D$16))*$C224*G$172</f>
        <v>0</v>
      </c>
      <c r="H224" s="270">
        <f>((F165*(1-'5.Closing Stock &amp; W Capital'!$D$16))+(E165*'5.Closing Stock &amp; W Capital'!$D$16))*$C224*H$172</f>
        <v>0</v>
      </c>
      <c r="I224" s="270">
        <f>((G165*(1-'5.Closing Stock &amp; W Capital'!$D$16))+(F165*'5.Closing Stock &amp; W Capital'!$D$16))*$C224*I$172</f>
        <v>0</v>
      </c>
      <c r="J224" s="270">
        <f>((H165*(1-'5.Closing Stock &amp; W Capital'!$D$16))+(G165*'5.Closing Stock &amp; W Capital'!$D$16))*$C224*J$172</f>
        <v>0</v>
      </c>
      <c r="K224" s="73"/>
      <c r="L224" s="73"/>
    </row>
    <row r="225" spans="1:12" ht="15.75" customHeight="1">
      <c r="A225" s="266" t="str">
        <f t="shared" si="93"/>
        <v>Custard Apple</v>
      </c>
      <c r="B225" s="78" t="s">
        <v>588</v>
      </c>
      <c r="C225" s="273"/>
      <c r="D225" s="270">
        <f>(B166*(1-'5.Closing Stock &amp; W Capital'!$D$16))*$C225*D$172</f>
        <v>0</v>
      </c>
      <c r="E225" s="270">
        <f>((C166*(1-'5.Closing Stock &amp; W Capital'!$D$16))+(B166*'5.Closing Stock &amp; W Capital'!$D$16))*$C225*E$172</f>
        <v>0</v>
      </c>
      <c r="F225" s="270">
        <f>((D166*(1-'5.Closing Stock &amp; W Capital'!$D$16))+(C166*'5.Closing Stock &amp; W Capital'!$D$16))*$C225*F$172</f>
        <v>0</v>
      </c>
      <c r="G225" s="270">
        <f>((E166*(1-'5.Closing Stock &amp; W Capital'!$D$16))+(D166*'5.Closing Stock &amp; W Capital'!$D$16))*$C225*G$172</f>
        <v>0</v>
      </c>
      <c r="H225" s="270">
        <f>((F166*(1-'5.Closing Stock &amp; W Capital'!$D$16))+(E166*'5.Closing Stock &amp; W Capital'!$D$16))*$C225*H$172</f>
        <v>0</v>
      </c>
      <c r="I225" s="270">
        <f>((G166*(1-'5.Closing Stock &amp; W Capital'!$D$16))+(F166*'5.Closing Stock &amp; W Capital'!$D$16))*$C225*I$172</f>
        <v>0</v>
      </c>
      <c r="J225" s="270">
        <f>((H166*(1-'5.Closing Stock &amp; W Capital'!$D$16))+(G166*'5.Closing Stock &amp; W Capital'!$D$16))*$C225*J$172</f>
        <v>0</v>
      </c>
      <c r="K225" s="73"/>
      <c r="L225" s="73"/>
    </row>
    <row r="226" spans="1:12" ht="15.75" customHeight="1">
      <c r="A226" s="266" t="str">
        <f t="shared" si="93"/>
        <v>Guava</v>
      </c>
      <c r="B226" s="78" t="s">
        <v>588</v>
      </c>
      <c r="C226" s="273"/>
      <c r="D226" s="270">
        <f>(B167*(1-'5.Closing Stock &amp; W Capital'!$D$16))*$C226*D$172</f>
        <v>0</v>
      </c>
      <c r="E226" s="270">
        <f>((C167*(1-'5.Closing Stock &amp; W Capital'!$D$16))+(B167*'5.Closing Stock &amp; W Capital'!$D$16))*$C226*E$172</f>
        <v>0</v>
      </c>
      <c r="F226" s="270">
        <f>((D167*(1-'5.Closing Stock &amp; W Capital'!$D$16))+(C167*'5.Closing Stock &amp; W Capital'!$D$16))*$C226*F$172</f>
        <v>0</v>
      </c>
      <c r="G226" s="270">
        <f>((E167*(1-'5.Closing Stock &amp; W Capital'!$D$16))+(D167*'5.Closing Stock &amp; W Capital'!$D$16))*$C226*G$172</f>
        <v>0</v>
      </c>
      <c r="H226" s="270">
        <f>((F167*(1-'5.Closing Stock &amp; W Capital'!$D$16))+(E167*'5.Closing Stock &amp; W Capital'!$D$16))*$C226*H$172</f>
        <v>0</v>
      </c>
      <c r="I226" s="270">
        <f>((G167*(1-'5.Closing Stock &amp; W Capital'!$D$16))+(F167*'5.Closing Stock &amp; W Capital'!$D$16))*$C226*I$172</f>
        <v>0</v>
      </c>
      <c r="J226" s="270">
        <f>((H167*(1-'5.Closing Stock &amp; W Capital'!$D$16))+(G167*'5.Closing Stock &amp; W Capital'!$D$16))*$C226*J$172</f>
        <v>0</v>
      </c>
      <c r="K226" s="73"/>
      <c r="L226" s="73"/>
    </row>
    <row r="227" spans="1:12" ht="15.75" customHeight="1">
      <c r="A227" s="266" t="str">
        <f t="shared" si="93"/>
        <v>Citrus</v>
      </c>
      <c r="B227" s="78" t="s">
        <v>588</v>
      </c>
      <c r="C227" s="273"/>
      <c r="D227" s="270">
        <f>(B168*(1-'5.Closing Stock &amp; W Capital'!$D$16))*$C227*D$172</f>
        <v>0</v>
      </c>
      <c r="E227" s="270">
        <f>((C168*(1-'5.Closing Stock &amp; W Capital'!$D$16))+(B168*'5.Closing Stock &amp; W Capital'!$D$16))*$C227*E$172</f>
        <v>0</v>
      </c>
      <c r="F227" s="270">
        <f>((D168*(1-'5.Closing Stock &amp; W Capital'!$D$16))+(C168*'5.Closing Stock &amp; W Capital'!$D$16))*$C227*F$172</f>
        <v>0</v>
      </c>
      <c r="G227" s="270">
        <f>((E168*(1-'5.Closing Stock &amp; W Capital'!$D$16))+(D168*'5.Closing Stock &amp; W Capital'!$D$16))*$C227*G$172</f>
        <v>0</v>
      </c>
      <c r="H227" s="270">
        <f>((F168*(1-'5.Closing Stock &amp; W Capital'!$D$16))+(E168*'5.Closing Stock &amp; W Capital'!$D$16))*$C227*H$172</f>
        <v>0</v>
      </c>
      <c r="I227" s="270">
        <f>((G168*(1-'5.Closing Stock &amp; W Capital'!$D$16))+(F168*'5.Closing Stock &amp; W Capital'!$D$16))*$C227*I$172</f>
        <v>0</v>
      </c>
      <c r="J227" s="270">
        <f>((H168*(1-'5.Closing Stock &amp; W Capital'!$D$16))+(G168*'5.Closing Stock &amp; W Capital'!$D$16))*$C227*J$172</f>
        <v>0</v>
      </c>
      <c r="K227" s="73"/>
      <c r="L227" s="73"/>
    </row>
    <row r="228" spans="1:12" ht="15.75" customHeight="1">
      <c r="A228" s="81"/>
      <c r="B228" s="81"/>
      <c r="C228" s="81"/>
      <c r="D228" s="78"/>
      <c r="E228" s="78"/>
      <c r="F228" s="78"/>
      <c r="G228" s="78"/>
      <c r="H228" s="78"/>
      <c r="I228" s="78"/>
      <c r="J228" s="78"/>
      <c r="K228" s="73"/>
      <c r="L228" s="73"/>
    </row>
    <row r="229" spans="1:12" ht="15.75" customHeight="1">
      <c r="A229" s="81" t="s">
        <v>357</v>
      </c>
      <c r="B229" s="81"/>
      <c r="C229" s="81"/>
      <c r="D229" s="266">
        <f t="shared" ref="D229:J229" si="94">SUM(D178:D228)</f>
        <v>45945102.5</v>
      </c>
      <c r="E229" s="266">
        <f t="shared" si="94"/>
        <v>50495025</v>
      </c>
      <c r="F229" s="266">
        <f t="shared" si="94"/>
        <v>53019776.25</v>
      </c>
      <c r="G229" s="266">
        <f t="shared" si="94"/>
        <v>55670765.062500015</v>
      </c>
      <c r="H229" s="266">
        <f t="shared" si="94"/>
        <v>58454303.315625012</v>
      </c>
      <c r="I229" s="266">
        <f t="shared" si="94"/>
        <v>61377018.481406271</v>
      </c>
      <c r="J229" s="266">
        <f t="shared" si="94"/>
        <v>64445869.405476585</v>
      </c>
      <c r="K229" s="73"/>
      <c r="L229" s="73"/>
    </row>
    <row r="230" spans="1:12" ht="15.75" customHeight="1">
      <c r="A230" s="78"/>
      <c r="B230" s="78"/>
      <c r="C230" s="78"/>
      <c r="D230" s="78"/>
      <c r="E230" s="78"/>
      <c r="F230" s="78"/>
      <c r="G230" s="78"/>
      <c r="H230" s="78"/>
      <c r="I230" s="78"/>
      <c r="J230" s="78"/>
      <c r="K230" s="73"/>
      <c r="L230" s="73"/>
    </row>
    <row r="231" spans="1:12" ht="15.75" customHeight="1">
      <c r="A231" s="81" t="s">
        <v>590</v>
      </c>
      <c r="B231" s="81"/>
      <c r="C231" s="81"/>
      <c r="D231" s="78"/>
      <c r="E231" s="78"/>
      <c r="F231" s="78"/>
      <c r="G231" s="78"/>
      <c r="H231" s="78"/>
      <c r="I231" s="78"/>
      <c r="J231" s="78"/>
      <c r="K231" s="73"/>
      <c r="L231" s="73"/>
    </row>
    <row r="232" spans="1:12" ht="15.75" customHeight="1">
      <c r="A232" s="81" t="s">
        <v>358</v>
      </c>
      <c r="B232" s="81"/>
      <c r="C232" s="78"/>
      <c r="D232" s="78"/>
      <c r="E232" s="78"/>
      <c r="F232" s="78"/>
      <c r="G232" s="78"/>
      <c r="H232" s="78"/>
      <c r="I232" s="78"/>
      <c r="J232" s="78"/>
      <c r="K232" s="73"/>
      <c r="L232" s="73"/>
    </row>
    <row r="233" spans="1:12" ht="15.75" customHeight="1">
      <c r="A233" s="270" t="str">
        <f t="shared" ref="A233:A254" si="95">A178</f>
        <v>Soybean</v>
      </c>
      <c r="B233" s="78" t="s">
        <v>588</v>
      </c>
      <c r="C233" s="79"/>
      <c r="D233" s="80">
        <f t="shared" ref="D233:E233" si="96">B68*$C$233*D$172</f>
        <v>0</v>
      </c>
      <c r="E233" s="80">
        <f t="shared" si="96"/>
        <v>0</v>
      </c>
      <c r="F233" s="80">
        <f t="shared" ref="F233:J233" si="97">D68*$C$233*F172</f>
        <v>0</v>
      </c>
      <c r="G233" s="80">
        <f t="shared" si="97"/>
        <v>0</v>
      </c>
      <c r="H233" s="80">
        <f t="shared" si="97"/>
        <v>0</v>
      </c>
      <c r="I233" s="80">
        <f t="shared" si="97"/>
        <v>0</v>
      </c>
      <c r="J233" s="80">
        <f t="shared" si="97"/>
        <v>0</v>
      </c>
      <c r="K233" s="73"/>
      <c r="L233" s="73"/>
    </row>
    <row r="234" spans="1:12" ht="15.75" customHeight="1">
      <c r="A234" s="270" t="str">
        <f t="shared" si="95"/>
        <v>Red Gram/Tur</v>
      </c>
      <c r="B234" s="78" t="s">
        <v>588</v>
      </c>
      <c r="C234" s="79">
        <v>6350</v>
      </c>
      <c r="D234" s="80">
        <f>B69*$C$234*D$172</f>
        <v>32385000</v>
      </c>
      <c r="E234" s="80">
        <f t="shared" ref="E234:J234" si="98">C69*$C$234*E172</f>
        <v>34004250</v>
      </c>
      <c r="F234" s="80">
        <f t="shared" si="98"/>
        <v>35704462.5</v>
      </c>
      <c r="G234" s="80">
        <f t="shared" si="98"/>
        <v>37489685.625000007</v>
      </c>
      <c r="H234" s="80">
        <f t="shared" si="98"/>
        <v>39364169.906250007</v>
      </c>
      <c r="I234" s="80">
        <f t="shared" si="98"/>
        <v>41332378.401562512</v>
      </c>
      <c r="J234" s="80">
        <f t="shared" si="98"/>
        <v>43398997.32164064</v>
      </c>
      <c r="K234" s="73"/>
      <c r="L234" s="73"/>
    </row>
    <row r="235" spans="1:12" ht="15.75" customHeight="1">
      <c r="A235" s="270" t="str">
        <f t="shared" si="95"/>
        <v>Paddy/Rice</v>
      </c>
      <c r="B235" s="78" t="s">
        <v>588</v>
      </c>
      <c r="C235" s="79"/>
      <c r="D235" s="80">
        <f>B70*$C$235*D$172</f>
        <v>0</v>
      </c>
      <c r="E235" s="80">
        <f t="shared" ref="E235:J235" si="99">C70*$C$235*E172</f>
        <v>0</v>
      </c>
      <c r="F235" s="80">
        <f t="shared" si="99"/>
        <v>0</v>
      </c>
      <c r="G235" s="80">
        <f t="shared" si="99"/>
        <v>0</v>
      </c>
      <c r="H235" s="80">
        <f t="shared" si="99"/>
        <v>0</v>
      </c>
      <c r="I235" s="80">
        <f t="shared" si="99"/>
        <v>0</v>
      </c>
      <c r="J235" s="80">
        <f t="shared" si="99"/>
        <v>0</v>
      </c>
      <c r="K235" s="73"/>
      <c r="L235" s="73"/>
    </row>
    <row r="236" spans="1:12" ht="15.75" customHeight="1">
      <c r="A236" s="270" t="str">
        <f t="shared" si="95"/>
        <v>Green Gram/ Moong</v>
      </c>
      <c r="B236" s="78" t="s">
        <v>588</v>
      </c>
      <c r="C236" s="79"/>
      <c r="D236" s="80">
        <f t="shared" ref="D236:J236" si="100">B71*$C$236*D$172</f>
        <v>0</v>
      </c>
      <c r="E236" s="80">
        <f t="shared" si="100"/>
        <v>0</v>
      </c>
      <c r="F236" s="80">
        <f t="shared" si="100"/>
        <v>0</v>
      </c>
      <c r="G236" s="80">
        <f t="shared" si="100"/>
        <v>0</v>
      </c>
      <c r="H236" s="80">
        <f t="shared" si="100"/>
        <v>0</v>
      </c>
      <c r="I236" s="80">
        <f t="shared" si="100"/>
        <v>0</v>
      </c>
      <c r="J236" s="80">
        <f t="shared" si="100"/>
        <v>0</v>
      </c>
      <c r="K236" s="73"/>
      <c r="L236" s="73"/>
    </row>
    <row r="237" spans="1:12" ht="15.75" customHeight="1">
      <c r="A237" s="270" t="str">
        <f t="shared" si="95"/>
        <v>Maize</v>
      </c>
      <c r="B237" s="78" t="s">
        <v>588</v>
      </c>
      <c r="C237" s="79"/>
      <c r="D237" s="80">
        <f t="shared" ref="D237:J237" si="101">B72*$C$237*D$172</f>
        <v>0</v>
      </c>
      <c r="E237" s="80">
        <f t="shared" si="101"/>
        <v>0</v>
      </c>
      <c r="F237" s="80">
        <f t="shared" si="101"/>
        <v>0</v>
      </c>
      <c r="G237" s="80">
        <f t="shared" si="101"/>
        <v>0</v>
      </c>
      <c r="H237" s="80">
        <f t="shared" si="101"/>
        <v>0</v>
      </c>
      <c r="I237" s="80">
        <f t="shared" si="101"/>
        <v>0</v>
      </c>
      <c r="J237" s="80">
        <f t="shared" si="101"/>
        <v>0</v>
      </c>
      <c r="K237" s="73"/>
      <c r="L237" s="73"/>
    </row>
    <row r="238" spans="1:12" ht="15.75" customHeight="1">
      <c r="A238" s="270" t="str">
        <f t="shared" si="95"/>
        <v>Black Gram/Udid</v>
      </c>
      <c r="B238" s="78" t="s">
        <v>588</v>
      </c>
      <c r="C238" s="79"/>
      <c r="D238" s="80">
        <f t="shared" ref="D238:J238" si="102">B73*$C$238*D$172</f>
        <v>0</v>
      </c>
      <c r="E238" s="80">
        <f t="shared" si="102"/>
        <v>0</v>
      </c>
      <c r="F238" s="80">
        <f t="shared" si="102"/>
        <v>0</v>
      </c>
      <c r="G238" s="80">
        <f t="shared" si="102"/>
        <v>0</v>
      </c>
      <c r="H238" s="80">
        <f t="shared" si="102"/>
        <v>0</v>
      </c>
      <c r="I238" s="80">
        <f t="shared" si="102"/>
        <v>0</v>
      </c>
      <c r="J238" s="80">
        <f t="shared" si="102"/>
        <v>0</v>
      </c>
      <c r="K238" s="73"/>
      <c r="L238" s="73"/>
    </row>
    <row r="239" spans="1:12" ht="15.75" customHeight="1">
      <c r="A239" s="270" t="str">
        <f t="shared" si="95"/>
        <v>Bajra</v>
      </c>
      <c r="B239" s="78" t="s">
        <v>588</v>
      </c>
      <c r="C239" s="79"/>
      <c r="D239" s="80">
        <f t="shared" ref="D239:J239" si="103">B74*$C$239*D$172</f>
        <v>0</v>
      </c>
      <c r="E239" s="80">
        <f t="shared" si="103"/>
        <v>0</v>
      </c>
      <c r="F239" s="80">
        <f t="shared" si="103"/>
        <v>0</v>
      </c>
      <c r="G239" s="80">
        <f t="shared" si="103"/>
        <v>0</v>
      </c>
      <c r="H239" s="80">
        <f t="shared" si="103"/>
        <v>0</v>
      </c>
      <c r="I239" s="80">
        <f t="shared" si="103"/>
        <v>0</v>
      </c>
      <c r="J239" s="80">
        <f t="shared" si="103"/>
        <v>0</v>
      </c>
      <c r="K239" s="73"/>
      <c r="L239" s="73"/>
    </row>
    <row r="240" spans="1:12" ht="15.75" customHeight="1">
      <c r="A240" s="270" t="str">
        <f t="shared" si="95"/>
        <v>Jawar</v>
      </c>
      <c r="B240" s="78" t="s">
        <v>588</v>
      </c>
      <c r="C240" s="79"/>
      <c r="D240" s="80">
        <f t="shared" ref="D240:J240" si="104">B75*$C$240*D$172</f>
        <v>0</v>
      </c>
      <c r="E240" s="80">
        <f t="shared" si="104"/>
        <v>0</v>
      </c>
      <c r="F240" s="80">
        <f t="shared" si="104"/>
        <v>0</v>
      </c>
      <c r="G240" s="80">
        <f t="shared" si="104"/>
        <v>0</v>
      </c>
      <c r="H240" s="80">
        <f t="shared" si="104"/>
        <v>0</v>
      </c>
      <c r="I240" s="80">
        <f t="shared" si="104"/>
        <v>0</v>
      </c>
      <c r="J240" s="80">
        <f t="shared" si="104"/>
        <v>0</v>
      </c>
      <c r="K240" s="73"/>
      <c r="L240" s="73"/>
    </row>
    <row r="241" spans="1:12" ht="15.75" customHeight="1">
      <c r="A241" s="270" t="str">
        <f t="shared" si="95"/>
        <v>Sunflower</v>
      </c>
      <c r="B241" s="78" t="s">
        <v>588</v>
      </c>
      <c r="C241" s="79"/>
      <c r="D241" s="80">
        <f t="shared" ref="D241:J241" si="105">B76*$C$241*D$172</f>
        <v>0</v>
      </c>
      <c r="E241" s="80">
        <f t="shared" si="105"/>
        <v>0</v>
      </c>
      <c r="F241" s="80">
        <f t="shared" si="105"/>
        <v>0</v>
      </c>
      <c r="G241" s="80">
        <f t="shared" si="105"/>
        <v>0</v>
      </c>
      <c r="H241" s="80">
        <f t="shared" si="105"/>
        <v>0</v>
      </c>
      <c r="I241" s="80">
        <f t="shared" si="105"/>
        <v>0</v>
      </c>
      <c r="J241" s="80">
        <f t="shared" si="105"/>
        <v>0</v>
      </c>
      <c r="K241" s="73"/>
      <c r="L241" s="73"/>
    </row>
    <row r="242" spans="1:12" ht="15.75" customHeight="1">
      <c r="A242" s="270" t="str">
        <f t="shared" si="95"/>
        <v>Wheat</v>
      </c>
      <c r="B242" s="78" t="s">
        <v>588</v>
      </c>
      <c r="C242" s="79"/>
      <c r="D242" s="80">
        <f t="shared" ref="D242:J242" si="106">B77*$C$242*D$172</f>
        <v>0</v>
      </c>
      <c r="E242" s="80">
        <f t="shared" si="106"/>
        <v>0</v>
      </c>
      <c r="F242" s="80">
        <f t="shared" si="106"/>
        <v>0</v>
      </c>
      <c r="G242" s="80">
        <f t="shared" si="106"/>
        <v>0</v>
      </c>
      <c r="H242" s="80">
        <f t="shared" si="106"/>
        <v>0</v>
      </c>
      <c r="I242" s="80">
        <f t="shared" si="106"/>
        <v>0</v>
      </c>
      <c r="J242" s="80">
        <f t="shared" si="106"/>
        <v>0</v>
      </c>
      <c r="K242" s="73"/>
      <c r="L242" s="73"/>
    </row>
    <row r="243" spans="1:12" ht="15.75" customHeight="1">
      <c r="A243" s="270" t="str">
        <f t="shared" si="95"/>
        <v>Bengal Gram/Channa</v>
      </c>
      <c r="B243" s="78" t="s">
        <v>588</v>
      </c>
      <c r="C243" s="79">
        <v>4800</v>
      </c>
      <c r="D243" s="80">
        <f t="shared" ref="D243:J243" si="107">B78*$C$243*D$172</f>
        <v>15360000</v>
      </c>
      <c r="E243" s="80">
        <f t="shared" si="107"/>
        <v>16128000.000000002</v>
      </c>
      <c r="F243" s="80">
        <f t="shared" si="107"/>
        <v>16934400.000000004</v>
      </c>
      <c r="G243" s="80">
        <f t="shared" si="107"/>
        <v>17781120.000000004</v>
      </c>
      <c r="H243" s="80">
        <f t="shared" si="107"/>
        <v>18670176.000000007</v>
      </c>
      <c r="I243" s="80">
        <f t="shared" si="107"/>
        <v>19603684.800000008</v>
      </c>
      <c r="J243" s="80">
        <f t="shared" si="107"/>
        <v>20583869.04000001</v>
      </c>
      <c r="K243" s="73"/>
      <c r="L243" s="73"/>
    </row>
    <row r="244" spans="1:12" ht="15.75" customHeight="1">
      <c r="A244" s="270" t="str">
        <f t="shared" si="95"/>
        <v>Jawar</v>
      </c>
      <c r="B244" s="78" t="s">
        <v>588</v>
      </c>
      <c r="C244" s="79"/>
      <c r="D244" s="80">
        <f t="shared" ref="D244:J244" si="108">B79*$C$244*D$172</f>
        <v>0</v>
      </c>
      <c r="E244" s="80">
        <f t="shared" si="108"/>
        <v>0</v>
      </c>
      <c r="F244" s="80">
        <f t="shared" si="108"/>
        <v>0</v>
      </c>
      <c r="G244" s="80">
        <f t="shared" si="108"/>
        <v>0</v>
      </c>
      <c r="H244" s="80">
        <f t="shared" si="108"/>
        <v>0</v>
      </c>
      <c r="I244" s="80">
        <f t="shared" si="108"/>
        <v>0</v>
      </c>
      <c r="J244" s="80">
        <f t="shared" si="108"/>
        <v>0</v>
      </c>
      <c r="K244" s="73"/>
      <c r="L244" s="73"/>
    </row>
    <row r="245" spans="1:12" ht="15.75" customHeight="1">
      <c r="A245" s="270" t="str">
        <f t="shared" si="95"/>
        <v>Maize</v>
      </c>
      <c r="B245" s="78" t="s">
        <v>588</v>
      </c>
      <c r="C245" s="79"/>
      <c r="D245" s="80">
        <f t="shared" ref="D245:J245" si="109">B80*$C$245*D$172</f>
        <v>0</v>
      </c>
      <c r="E245" s="80">
        <f t="shared" si="109"/>
        <v>0</v>
      </c>
      <c r="F245" s="80">
        <f t="shared" si="109"/>
        <v>0</v>
      </c>
      <c r="G245" s="80">
        <f t="shared" si="109"/>
        <v>0</v>
      </c>
      <c r="H245" s="80">
        <f t="shared" si="109"/>
        <v>0</v>
      </c>
      <c r="I245" s="80">
        <f t="shared" si="109"/>
        <v>0</v>
      </c>
      <c r="J245" s="80">
        <f t="shared" si="109"/>
        <v>0</v>
      </c>
      <c r="K245" s="73"/>
      <c r="L245" s="73"/>
    </row>
    <row r="246" spans="1:12" ht="15.75" customHeight="1">
      <c r="A246" s="270" t="str">
        <f t="shared" si="95"/>
        <v>Safflower</v>
      </c>
      <c r="B246" s="78" t="s">
        <v>588</v>
      </c>
      <c r="C246" s="79"/>
      <c r="D246" s="80">
        <f t="shared" ref="D246:J246" si="110">B81*$C$246*D$172</f>
        <v>0</v>
      </c>
      <c r="E246" s="80">
        <f t="shared" si="110"/>
        <v>0</v>
      </c>
      <c r="F246" s="80">
        <f t="shared" si="110"/>
        <v>0</v>
      </c>
      <c r="G246" s="80">
        <f t="shared" si="110"/>
        <v>0</v>
      </c>
      <c r="H246" s="80">
        <f t="shared" si="110"/>
        <v>0</v>
      </c>
      <c r="I246" s="80">
        <f t="shared" si="110"/>
        <v>0</v>
      </c>
      <c r="J246" s="80">
        <f t="shared" si="110"/>
        <v>0</v>
      </c>
      <c r="K246" s="73"/>
      <c r="L246" s="73"/>
    </row>
    <row r="247" spans="1:12" ht="15.75" customHeight="1">
      <c r="A247" s="270">
        <f t="shared" si="95"/>
        <v>0</v>
      </c>
      <c r="B247" s="78" t="s">
        <v>588</v>
      </c>
      <c r="C247" s="79"/>
      <c r="D247" s="80">
        <f t="shared" ref="D247:J247" si="111">B82*$C$247*D$172</f>
        <v>0</v>
      </c>
      <c r="E247" s="80">
        <f t="shared" si="111"/>
        <v>0</v>
      </c>
      <c r="F247" s="80">
        <f t="shared" si="111"/>
        <v>0</v>
      </c>
      <c r="G247" s="80">
        <f t="shared" si="111"/>
        <v>0</v>
      </c>
      <c r="H247" s="80">
        <f t="shared" si="111"/>
        <v>0</v>
      </c>
      <c r="I247" s="80">
        <f t="shared" si="111"/>
        <v>0</v>
      </c>
      <c r="J247" s="80">
        <f t="shared" si="111"/>
        <v>0</v>
      </c>
      <c r="K247" s="73"/>
      <c r="L247" s="73"/>
    </row>
    <row r="248" spans="1:12" ht="15.75" customHeight="1">
      <c r="A248" s="270">
        <f t="shared" si="95"/>
        <v>0</v>
      </c>
      <c r="B248" s="78" t="s">
        <v>588</v>
      </c>
      <c r="C248" s="79"/>
      <c r="D248" s="80">
        <f t="shared" ref="D248:J248" si="112">B83*$C$248*D$172</f>
        <v>0</v>
      </c>
      <c r="E248" s="80">
        <f t="shared" si="112"/>
        <v>0</v>
      </c>
      <c r="F248" s="80">
        <f t="shared" si="112"/>
        <v>0</v>
      </c>
      <c r="G248" s="80">
        <f t="shared" si="112"/>
        <v>0</v>
      </c>
      <c r="H248" s="80">
        <f t="shared" si="112"/>
        <v>0</v>
      </c>
      <c r="I248" s="80">
        <f t="shared" si="112"/>
        <v>0</v>
      </c>
      <c r="J248" s="80">
        <f t="shared" si="112"/>
        <v>0</v>
      </c>
      <c r="K248" s="73"/>
      <c r="L248" s="73"/>
    </row>
    <row r="249" spans="1:12" ht="15.75" customHeight="1">
      <c r="A249" s="270">
        <f t="shared" si="95"/>
        <v>0</v>
      </c>
      <c r="B249" s="78" t="s">
        <v>588</v>
      </c>
      <c r="C249" s="79"/>
      <c r="D249" s="80">
        <f t="shared" ref="D249:J249" si="113">B84*$C249*D$172</f>
        <v>0</v>
      </c>
      <c r="E249" s="80">
        <f t="shared" si="113"/>
        <v>0</v>
      </c>
      <c r="F249" s="80">
        <f t="shared" si="113"/>
        <v>0</v>
      </c>
      <c r="G249" s="80">
        <f t="shared" si="113"/>
        <v>0</v>
      </c>
      <c r="H249" s="80">
        <f t="shared" si="113"/>
        <v>0</v>
      </c>
      <c r="I249" s="80">
        <f t="shared" si="113"/>
        <v>0</v>
      </c>
      <c r="J249" s="80">
        <f t="shared" si="113"/>
        <v>0</v>
      </c>
      <c r="K249" s="73"/>
      <c r="L249" s="73"/>
    </row>
    <row r="250" spans="1:12" ht="15.75" customHeight="1">
      <c r="A250" s="270" t="str">
        <f t="shared" si="95"/>
        <v>Groundnut</v>
      </c>
      <c r="B250" s="78" t="s">
        <v>588</v>
      </c>
      <c r="C250" s="79"/>
      <c r="D250" s="80">
        <f t="shared" ref="D250:J250" si="114">B85*$C250*D$172</f>
        <v>0</v>
      </c>
      <c r="E250" s="80">
        <f t="shared" si="114"/>
        <v>0</v>
      </c>
      <c r="F250" s="80">
        <f t="shared" si="114"/>
        <v>0</v>
      </c>
      <c r="G250" s="80">
        <f t="shared" si="114"/>
        <v>0</v>
      </c>
      <c r="H250" s="80">
        <f t="shared" si="114"/>
        <v>0</v>
      </c>
      <c r="I250" s="80">
        <f t="shared" si="114"/>
        <v>0</v>
      </c>
      <c r="J250" s="80">
        <f t="shared" si="114"/>
        <v>0</v>
      </c>
      <c r="K250" s="73"/>
      <c r="L250" s="73"/>
    </row>
    <row r="251" spans="1:12" ht="15.75" customHeight="1">
      <c r="A251" s="270">
        <f t="shared" si="95"/>
        <v>0</v>
      </c>
      <c r="B251" s="78" t="s">
        <v>588</v>
      </c>
      <c r="C251" s="79"/>
      <c r="D251" s="80">
        <f t="shared" ref="D251:J251" si="115">B86*$C251*D$172</f>
        <v>0</v>
      </c>
      <c r="E251" s="80">
        <f t="shared" si="115"/>
        <v>0</v>
      </c>
      <c r="F251" s="80">
        <f t="shared" si="115"/>
        <v>0</v>
      </c>
      <c r="G251" s="80">
        <f t="shared" si="115"/>
        <v>0</v>
      </c>
      <c r="H251" s="80">
        <f t="shared" si="115"/>
        <v>0</v>
      </c>
      <c r="I251" s="80">
        <f t="shared" si="115"/>
        <v>0</v>
      </c>
      <c r="J251" s="80">
        <f t="shared" si="115"/>
        <v>0</v>
      </c>
      <c r="K251" s="73"/>
      <c r="L251" s="73"/>
    </row>
    <row r="252" spans="1:12" ht="15.75" customHeight="1">
      <c r="A252" s="270">
        <f t="shared" si="95"/>
        <v>0</v>
      </c>
      <c r="B252" s="78" t="s">
        <v>588</v>
      </c>
      <c r="C252" s="79"/>
      <c r="D252" s="80">
        <f t="shared" ref="D252:J252" si="116">B87*$C252*D$172</f>
        <v>0</v>
      </c>
      <c r="E252" s="80">
        <f t="shared" si="116"/>
        <v>0</v>
      </c>
      <c r="F252" s="80">
        <f t="shared" si="116"/>
        <v>0</v>
      </c>
      <c r="G252" s="80">
        <f t="shared" si="116"/>
        <v>0</v>
      </c>
      <c r="H252" s="80">
        <f t="shared" si="116"/>
        <v>0</v>
      </c>
      <c r="I252" s="80">
        <f t="shared" si="116"/>
        <v>0</v>
      </c>
      <c r="J252" s="80">
        <f t="shared" si="116"/>
        <v>0</v>
      </c>
      <c r="K252" s="73"/>
      <c r="L252" s="73"/>
    </row>
    <row r="253" spans="1:12" ht="15.75" customHeight="1">
      <c r="A253" s="270">
        <f t="shared" si="95"/>
        <v>0</v>
      </c>
      <c r="B253" s="78" t="s">
        <v>588</v>
      </c>
      <c r="C253" s="79"/>
      <c r="D253" s="80">
        <f t="shared" ref="D253:J253" si="117">B88*$C253*D$172</f>
        <v>0</v>
      </c>
      <c r="E253" s="80">
        <f t="shared" si="117"/>
        <v>0</v>
      </c>
      <c r="F253" s="80">
        <f t="shared" si="117"/>
        <v>0</v>
      </c>
      <c r="G253" s="80">
        <f t="shared" si="117"/>
        <v>0</v>
      </c>
      <c r="H253" s="80">
        <f t="shared" si="117"/>
        <v>0</v>
      </c>
      <c r="I253" s="80">
        <f t="shared" si="117"/>
        <v>0</v>
      </c>
      <c r="J253" s="80">
        <f t="shared" si="117"/>
        <v>0</v>
      </c>
      <c r="K253" s="73"/>
      <c r="L253" s="73"/>
    </row>
    <row r="254" spans="1:12" ht="15.75" customHeight="1">
      <c r="A254" s="78">
        <f t="shared" si="95"/>
        <v>0</v>
      </c>
      <c r="B254" s="78" t="s">
        <v>588</v>
      </c>
      <c r="C254" s="79"/>
      <c r="D254" s="80">
        <f t="shared" ref="D254:J254" si="118">B89*$C254*D$172</f>
        <v>0</v>
      </c>
      <c r="E254" s="80">
        <f t="shared" si="118"/>
        <v>0</v>
      </c>
      <c r="F254" s="80">
        <f t="shared" si="118"/>
        <v>0</v>
      </c>
      <c r="G254" s="80">
        <f t="shared" si="118"/>
        <v>0</v>
      </c>
      <c r="H254" s="80">
        <f t="shared" si="118"/>
        <v>0</v>
      </c>
      <c r="I254" s="80">
        <f t="shared" si="118"/>
        <v>0</v>
      </c>
      <c r="J254" s="80">
        <f t="shared" si="118"/>
        <v>0</v>
      </c>
      <c r="K254" s="73"/>
      <c r="L254" s="73"/>
    </row>
    <row r="255" spans="1:12" ht="15.75" customHeight="1">
      <c r="A255" s="78">
        <f t="shared" ref="A255:A274" si="119">A201</f>
        <v>0</v>
      </c>
      <c r="B255" s="78"/>
      <c r="C255" s="79"/>
      <c r="D255" s="80">
        <f t="shared" ref="D255:J255" si="120">B90*$C255*D$172</f>
        <v>0</v>
      </c>
      <c r="E255" s="80">
        <f t="shared" si="120"/>
        <v>0</v>
      </c>
      <c r="F255" s="80">
        <f t="shared" si="120"/>
        <v>0</v>
      </c>
      <c r="G255" s="80">
        <f t="shared" si="120"/>
        <v>0</v>
      </c>
      <c r="H255" s="80">
        <f t="shared" si="120"/>
        <v>0</v>
      </c>
      <c r="I255" s="80">
        <f t="shared" si="120"/>
        <v>0</v>
      </c>
      <c r="J255" s="80">
        <f t="shared" si="120"/>
        <v>0</v>
      </c>
      <c r="K255" s="73"/>
      <c r="L255" s="73"/>
    </row>
    <row r="256" spans="1:12" ht="15.75" customHeight="1">
      <c r="A256" s="266" t="str">
        <f t="shared" si="119"/>
        <v>Fruit  &amp; Vegetables Crop Production Details</v>
      </c>
      <c r="B256" s="78"/>
      <c r="C256" s="79"/>
      <c r="D256" s="80"/>
      <c r="E256" s="80"/>
      <c r="F256" s="80"/>
      <c r="G256" s="80"/>
      <c r="H256" s="80"/>
      <c r="I256" s="80"/>
      <c r="J256" s="80"/>
      <c r="K256" s="73"/>
      <c r="L256" s="73"/>
    </row>
    <row r="257" spans="1:12" ht="15.75" customHeight="1">
      <c r="A257" s="270" t="str">
        <f t="shared" si="119"/>
        <v>Onion</v>
      </c>
      <c r="B257" s="78" t="s">
        <v>588</v>
      </c>
      <c r="C257" s="79"/>
      <c r="D257" s="80">
        <f t="shared" ref="D257:J257" si="121">B92*$C257*D$172</f>
        <v>0</v>
      </c>
      <c r="E257" s="80">
        <f t="shared" si="121"/>
        <v>0</v>
      </c>
      <c r="F257" s="80">
        <f t="shared" si="121"/>
        <v>0</v>
      </c>
      <c r="G257" s="80">
        <f t="shared" si="121"/>
        <v>0</v>
      </c>
      <c r="H257" s="80">
        <f t="shared" si="121"/>
        <v>0</v>
      </c>
      <c r="I257" s="80">
        <f t="shared" si="121"/>
        <v>0</v>
      </c>
      <c r="J257" s="80">
        <f t="shared" si="121"/>
        <v>0</v>
      </c>
      <c r="K257" s="73"/>
      <c r="L257" s="73"/>
    </row>
    <row r="258" spans="1:12" ht="15.75" customHeight="1">
      <c r="A258" s="270" t="str">
        <f t="shared" si="119"/>
        <v>Tomato</v>
      </c>
      <c r="B258" s="78" t="s">
        <v>588</v>
      </c>
      <c r="C258" s="79"/>
      <c r="D258" s="80">
        <f t="shared" ref="D258:J258" si="122">B93*$C258*D$172</f>
        <v>0</v>
      </c>
      <c r="E258" s="80">
        <f t="shared" si="122"/>
        <v>0</v>
      </c>
      <c r="F258" s="80">
        <f t="shared" si="122"/>
        <v>0</v>
      </c>
      <c r="G258" s="80">
        <f t="shared" si="122"/>
        <v>0</v>
      </c>
      <c r="H258" s="80">
        <f t="shared" si="122"/>
        <v>0</v>
      </c>
      <c r="I258" s="80">
        <f t="shared" si="122"/>
        <v>0</v>
      </c>
      <c r="J258" s="80">
        <f t="shared" si="122"/>
        <v>0</v>
      </c>
      <c r="K258" s="73"/>
      <c r="L258" s="73"/>
    </row>
    <row r="259" spans="1:12" ht="15.75" customHeight="1">
      <c r="A259" s="270" t="str">
        <f t="shared" si="119"/>
        <v>Okra</v>
      </c>
      <c r="B259" s="78" t="s">
        <v>588</v>
      </c>
      <c r="C259" s="79"/>
      <c r="D259" s="80">
        <f t="shared" ref="D259:J259" si="123">B94*$C259*D$172</f>
        <v>0</v>
      </c>
      <c r="E259" s="80">
        <f t="shared" si="123"/>
        <v>0</v>
      </c>
      <c r="F259" s="80">
        <f t="shared" si="123"/>
        <v>0</v>
      </c>
      <c r="G259" s="80">
        <f t="shared" si="123"/>
        <v>0</v>
      </c>
      <c r="H259" s="80">
        <f t="shared" si="123"/>
        <v>0</v>
      </c>
      <c r="I259" s="80">
        <f t="shared" si="123"/>
        <v>0</v>
      </c>
      <c r="J259" s="80">
        <f t="shared" si="123"/>
        <v>0</v>
      </c>
      <c r="K259" s="73"/>
      <c r="L259" s="73"/>
    </row>
    <row r="260" spans="1:12" ht="15.75" customHeight="1">
      <c r="A260" s="270" t="str">
        <f t="shared" si="119"/>
        <v>Chilli</v>
      </c>
      <c r="B260" s="78" t="s">
        <v>588</v>
      </c>
      <c r="C260" s="79"/>
      <c r="D260" s="80">
        <f t="shared" ref="D260:J260" si="124">B95*$C260*D$172</f>
        <v>0</v>
      </c>
      <c r="E260" s="80">
        <f t="shared" si="124"/>
        <v>0</v>
      </c>
      <c r="F260" s="80">
        <f t="shared" si="124"/>
        <v>0</v>
      </c>
      <c r="G260" s="80">
        <f t="shared" si="124"/>
        <v>0</v>
      </c>
      <c r="H260" s="80">
        <f t="shared" si="124"/>
        <v>0</v>
      </c>
      <c r="I260" s="80">
        <f t="shared" si="124"/>
        <v>0</v>
      </c>
      <c r="J260" s="80">
        <f t="shared" si="124"/>
        <v>0</v>
      </c>
      <c r="K260" s="73"/>
      <c r="L260" s="73"/>
    </row>
    <row r="261" spans="1:12" ht="15.75" customHeight="1">
      <c r="A261" s="270" t="str">
        <f t="shared" si="119"/>
        <v>Potato</v>
      </c>
      <c r="B261" s="78" t="s">
        <v>588</v>
      </c>
      <c r="C261" s="79"/>
      <c r="D261" s="80">
        <f t="shared" ref="D261:J261" si="125">B96*$C261*D$172</f>
        <v>0</v>
      </c>
      <c r="E261" s="80">
        <f t="shared" si="125"/>
        <v>0</v>
      </c>
      <c r="F261" s="80">
        <f t="shared" si="125"/>
        <v>0</v>
      </c>
      <c r="G261" s="80">
        <f t="shared" si="125"/>
        <v>0</v>
      </c>
      <c r="H261" s="80">
        <f t="shared" si="125"/>
        <v>0</v>
      </c>
      <c r="I261" s="80">
        <f t="shared" si="125"/>
        <v>0</v>
      </c>
      <c r="J261" s="80">
        <f t="shared" si="125"/>
        <v>0</v>
      </c>
      <c r="K261" s="73"/>
      <c r="L261" s="73"/>
    </row>
    <row r="262" spans="1:12" ht="15.75" customHeight="1">
      <c r="A262" s="270">
        <f t="shared" si="119"/>
        <v>0</v>
      </c>
      <c r="B262" s="78" t="s">
        <v>588</v>
      </c>
      <c r="C262" s="79"/>
      <c r="D262" s="80">
        <f t="shared" ref="D262:J262" si="126">B97*$C262*D$172</f>
        <v>0</v>
      </c>
      <c r="E262" s="80">
        <f t="shared" si="126"/>
        <v>0</v>
      </c>
      <c r="F262" s="80">
        <f t="shared" si="126"/>
        <v>0</v>
      </c>
      <c r="G262" s="80">
        <f t="shared" si="126"/>
        <v>0</v>
      </c>
      <c r="H262" s="80">
        <f t="shared" si="126"/>
        <v>0</v>
      </c>
      <c r="I262" s="80">
        <f t="shared" si="126"/>
        <v>0</v>
      </c>
      <c r="J262" s="80">
        <f t="shared" si="126"/>
        <v>0</v>
      </c>
      <c r="K262" s="73"/>
      <c r="L262" s="73"/>
    </row>
    <row r="263" spans="1:12" ht="15.75" customHeight="1">
      <c r="A263" s="270">
        <f t="shared" si="119"/>
        <v>0</v>
      </c>
      <c r="B263" s="78" t="s">
        <v>588</v>
      </c>
      <c r="C263" s="79"/>
      <c r="D263" s="80">
        <f t="shared" ref="D263:J263" si="127">B98*$C263*D$172</f>
        <v>0</v>
      </c>
      <c r="E263" s="80">
        <f t="shared" si="127"/>
        <v>0</v>
      </c>
      <c r="F263" s="80">
        <f t="shared" si="127"/>
        <v>0</v>
      </c>
      <c r="G263" s="80">
        <f t="shared" si="127"/>
        <v>0</v>
      </c>
      <c r="H263" s="80">
        <f t="shared" si="127"/>
        <v>0</v>
      </c>
      <c r="I263" s="80">
        <f t="shared" si="127"/>
        <v>0</v>
      </c>
      <c r="J263" s="80">
        <f t="shared" si="127"/>
        <v>0</v>
      </c>
      <c r="K263" s="73"/>
      <c r="L263" s="73"/>
    </row>
    <row r="264" spans="1:12" ht="15.75" customHeight="1">
      <c r="A264" s="270">
        <f t="shared" si="119"/>
        <v>0</v>
      </c>
      <c r="B264" s="78" t="s">
        <v>588</v>
      </c>
      <c r="C264" s="79"/>
      <c r="D264" s="80">
        <f t="shared" ref="D264:J264" si="128">B99*$C264*D$172</f>
        <v>0</v>
      </c>
      <c r="E264" s="80">
        <f t="shared" si="128"/>
        <v>0</v>
      </c>
      <c r="F264" s="80">
        <f t="shared" si="128"/>
        <v>0</v>
      </c>
      <c r="G264" s="80">
        <f t="shared" si="128"/>
        <v>0</v>
      </c>
      <c r="H264" s="80">
        <f t="shared" si="128"/>
        <v>0</v>
      </c>
      <c r="I264" s="80">
        <f t="shared" si="128"/>
        <v>0</v>
      </c>
      <c r="J264" s="80">
        <f t="shared" si="128"/>
        <v>0</v>
      </c>
      <c r="K264" s="73"/>
      <c r="L264" s="73"/>
    </row>
    <row r="265" spans="1:12" ht="15.75" customHeight="1">
      <c r="A265" s="270">
        <f t="shared" si="119"/>
        <v>0</v>
      </c>
      <c r="B265" s="78" t="s">
        <v>588</v>
      </c>
      <c r="C265" s="79"/>
      <c r="D265" s="80">
        <f t="shared" ref="D265:J265" si="129">B100*$C265*D$172</f>
        <v>0</v>
      </c>
      <c r="E265" s="80">
        <f t="shared" si="129"/>
        <v>0</v>
      </c>
      <c r="F265" s="80">
        <f t="shared" si="129"/>
        <v>0</v>
      </c>
      <c r="G265" s="80">
        <f t="shared" si="129"/>
        <v>0</v>
      </c>
      <c r="H265" s="80">
        <f t="shared" si="129"/>
        <v>0</v>
      </c>
      <c r="I265" s="80">
        <f t="shared" si="129"/>
        <v>0</v>
      </c>
      <c r="J265" s="80">
        <f t="shared" si="129"/>
        <v>0</v>
      </c>
      <c r="K265" s="73"/>
      <c r="L265" s="73"/>
    </row>
    <row r="266" spans="1:12" ht="15.75" customHeight="1">
      <c r="A266" s="270" t="str">
        <f t="shared" si="119"/>
        <v>Onion</v>
      </c>
      <c r="B266" s="78" t="s">
        <v>588</v>
      </c>
      <c r="C266" s="79"/>
      <c r="D266" s="80">
        <f t="shared" ref="D266:J266" si="130">B101*$C266*D$172</f>
        <v>0</v>
      </c>
      <c r="E266" s="80">
        <f t="shared" si="130"/>
        <v>0</v>
      </c>
      <c r="F266" s="80">
        <f t="shared" si="130"/>
        <v>0</v>
      </c>
      <c r="G266" s="80">
        <f t="shared" si="130"/>
        <v>0</v>
      </c>
      <c r="H266" s="80">
        <f t="shared" si="130"/>
        <v>0</v>
      </c>
      <c r="I266" s="80">
        <f t="shared" si="130"/>
        <v>0</v>
      </c>
      <c r="J266" s="80">
        <f t="shared" si="130"/>
        <v>0</v>
      </c>
      <c r="K266" s="73"/>
      <c r="L266" s="73"/>
    </row>
    <row r="267" spans="1:12" ht="15.75" customHeight="1">
      <c r="A267" s="270" t="str">
        <f t="shared" si="119"/>
        <v>Tomato</v>
      </c>
      <c r="B267" s="78" t="s">
        <v>588</v>
      </c>
      <c r="C267" s="79"/>
      <c r="D267" s="80">
        <f t="shared" ref="D267:J267" si="131">B102*$C267*D$172</f>
        <v>0</v>
      </c>
      <c r="E267" s="80">
        <f t="shared" si="131"/>
        <v>0</v>
      </c>
      <c r="F267" s="80">
        <f t="shared" si="131"/>
        <v>0</v>
      </c>
      <c r="G267" s="80">
        <f t="shared" si="131"/>
        <v>0</v>
      </c>
      <c r="H267" s="80">
        <f t="shared" si="131"/>
        <v>0</v>
      </c>
      <c r="I267" s="80">
        <f t="shared" si="131"/>
        <v>0</v>
      </c>
      <c r="J267" s="80">
        <f t="shared" si="131"/>
        <v>0</v>
      </c>
      <c r="K267" s="73"/>
      <c r="L267" s="73"/>
    </row>
    <row r="268" spans="1:12" ht="15.75" customHeight="1">
      <c r="A268" s="270" t="str">
        <f t="shared" si="119"/>
        <v>Okra</v>
      </c>
      <c r="B268" s="78" t="s">
        <v>588</v>
      </c>
      <c r="C268" s="79"/>
      <c r="D268" s="80">
        <f t="shared" ref="D268:J268" si="132">B103*$C268*D$172</f>
        <v>0</v>
      </c>
      <c r="E268" s="80">
        <f t="shared" si="132"/>
        <v>0</v>
      </c>
      <c r="F268" s="80">
        <f t="shared" si="132"/>
        <v>0</v>
      </c>
      <c r="G268" s="80">
        <f t="shared" si="132"/>
        <v>0</v>
      </c>
      <c r="H268" s="80">
        <f t="shared" si="132"/>
        <v>0</v>
      </c>
      <c r="I268" s="80">
        <f t="shared" si="132"/>
        <v>0</v>
      </c>
      <c r="J268" s="80">
        <f t="shared" si="132"/>
        <v>0</v>
      </c>
      <c r="K268" s="73"/>
      <c r="L268" s="73"/>
    </row>
    <row r="269" spans="1:12" ht="15.75" customHeight="1">
      <c r="A269" s="270" t="str">
        <f t="shared" si="119"/>
        <v>Chilli</v>
      </c>
      <c r="B269" s="78" t="s">
        <v>588</v>
      </c>
      <c r="C269" s="79"/>
      <c r="D269" s="80">
        <f t="shared" ref="D269:J269" si="133">B104*$C269*D$172</f>
        <v>0</v>
      </c>
      <c r="E269" s="80">
        <f t="shared" si="133"/>
        <v>0</v>
      </c>
      <c r="F269" s="80">
        <f t="shared" si="133"/>
        <v>0</v>
      </c>
      <c r="G269" s="80">
        <f t="shared" si="133"/>
        <v>0</v>
      </c>
      <c r="H269" s="80">
        <f t="shared" si="133"/>
        <v>0</v>
      </c>
      <c r="I269" s="80">
        <f t="shared" si="133"/>
        <v>0</v>
      </c>
      <c r="J269" s="80">
        <f t="shared" si="133"/>
        <v>0</v>
      </c>
      <c r="K269" s="73"/>
      <c r="L269" s="73"/>
    </row>
    <row r="270" spans="1:12" ht="15.75" customHeight="1">
      <c r="A270" s="270" t="str">
        <f t="shared" si="119"/>
        <v>Brinjal</v>
      </c>
      <c r="B270" s="78" t="s">
        <v>588</v>
      </c>
      <c r="C270" s="79"/>
      <c r="D270" s="80">
        <f t="shared" ref="D270:J270" si="134">B105*$C270*D$172</f>
        <v>0</v>
      </c>
      <c r="E270" s="80">
        <f t="shared" si="134"/>
        <v>0</v>
      </c>
      <c r="F270" s="80">
        <f t="shared" si="134"/>
        <v>0</v>
      </c>
      <c r="G270" s="80">
        <f t="shared" si="134"/>
        <v>0</v>
      </c>
      <c r="H270" s="80">
        <f t="shared" si="134"/>
        <v>0</v>
      </c>
      <c r="I270" s="80">
        <f t="shared" si="134"/>
        <v>0</v>
      </c>
      <c r="J270" s="80">
        <f t="shared" si="134"/>
        <v>0</v>
      </c>
      <c r="K270" s="73"/>
      <c r="L270" s="73"/>
    </row>
    <row r="271" spans="1:12" ht="15.75" customHeight="1">
      <c r="A271" s="270">
        <f t="shared" si="119"/>
        <v>0</v>
      </c>
      <c r="B271" s="78" t="s">
        <v>588</v>
      </c>
      <c r="C271" s="79"/>
      <c r="D271" s="80">
        <f t="shared" ref="D271:J271" si="135">B106*$C271*D$172</f>
        <v>0</v>
      </c>
      <c r="E271" s="80">
        <f t="shared" si="135"/>
        <v>0</v>
      </c>
      <c r="F271" s="80">
        <f t="shared" si="135"/>
        <v>0</v>
      </c>
      <c r="G271" s="80">
        <f t="shared" si="135"/>
        <v>0</v>
      </c>
      <c r="H271" s="80">
        <f t="shared" si="135"/>
        <v>0</v>
      </c>
      <c r="I271" s="80">
        <f t="shared" si="135"/>
        <v>0</v>
      </c>
      <c r="J271" s="80">
        <f t="shared" si="135"/>
        <v>0</v>
      </c>
      <c r="K271" s="73"/>
      <c r="L271" s="73"/>
    </row>
    <row r="272" spans="1:12" ht="15.75" customHeight="1">
      <c r="A272" s="270">
        <f t="shared" si="119"/>
        <v>0</v>
      </c>
      <c r="B272" s="78" t="s">
        <v>588</v>
      </c>
      <c r="C272" s="79"/>
      <c r="D272" s="80">
        <f t="shared" ref="D272:J272" si="136">B107*$C272*D$172</f>
        <v>0</v>
      </c>
      <c r="E272" s="80">
        <f t="shared" si="136"/>
        <v>0</v>
      </c>
      <c r="F272" s="80">
        <f t="shared" si="136"/>
        <v>0</v>
      </c>
      <c r="G272" s="80">
        <f t="shared" si="136"/>
        <v>0</v>
      </c>
      <c r="H272" s="80">
        <f t="shared" si="136"/>
        <v>0</v>
      </c>
      <c r="I272" s="80">
        <f t="shared" si="136"/>
        <v>0</v>
      </c>
      <c r="J272" s="80">
        <f t="shared" si="136"/>
        <v>0</v>
      </c>
      <c r="K272" s="73"/>
      <c r="L272" s="73"/>
    </row>
    <row r="273" spans="1:12" ht="15.75" customHeight="1">
      <c r="A273" s="270">
        <f t="shared" si="119"/>
        <v>0</v>
      </c>
      <c r="B273" s="78" t="s">
        <v>588</v>
      </c>
      <c r="C273" s="79"/>
      <c r="D273" s="80">
        <f t="shared" ref="D273:J273" si="137">B108*$C273*D$172</f>
        <v>0</v>
      </c>
      <c r="E273" s="80">
        <f t="shared" si="137"/>
        <v>0</v>
      </c>
      <c r="F273" s="80">
        <f t="shared" si="137"/>
        <v>0</v>
      </c>
      <c r="G273" s="80">
        <f t="shared" si="137"/>
        <v>0</v>
      </c>
      <c r="H273" s="80">
        <f t="shared" si="137"/>
        <v>0</v>
      </c>
      <c r="I273" s="80">
        <f t="shared" si="137"/>
        <v>0</v>
      </c>
      <c r="J273" s="80">
        <f t="shared" si="137"/>
        <v>0</v>
      </c>
      <c r="K273" s="73"/>
      <c r="L273" s="73"/>
    </row>
    <row r="274" spans="1:12" ht="15.75" customHeight="1">
      <c r="A274" s="270">
        <f t="shared" si="119"/>
        <v>0</v>
      </c>
      <c r="B274" s="78" t="s">
        <v>588</v>
      </c>
      <c r="C274" s="79"/>
      <c r="D274" s="80">
        <f t="shared" ref="D274:J274" si="138">B109*$C274*D$172</f>
        <v>0</v>
      </c>
      <c r="E274" s="80">
        <f t="shared" si="138"/>
        <v>0</v>
      </c>
      <c r="F274" s="80">
        <f t="shared" si="138"/>
        <v>0</v>
      </c>
      <c r="G274" s="80">
        <f t="shared" si="138"/>
        <v>0</v>
      </c>
      <c r="H274" s="80">
        <f t="shared" si="138"/>
        <v>0</v>
      </c>
      <c r="I274" s="80">
        <f t="shared" si="138"/>
        <v>0</v>
      </c>
      <c r="J274" s="80">
        <f t="shared" si="138"/>
        <v>0</v>
      </c>
      <c r="K274" s="73"/>
      <c r="L274" s="73"/>
    </row>
    <row r="275" spans="1:12" ht="15.75" customHeight="1">
      <c r="A275" s="270" t="str">
        <f t="shared" ref="A275:A279" si="139">A224</f>
        <v>Pomegranate</v>
      </c>
      <c r="B275" s="78" t="s">
        <v>588</v>
      </c>
      <c r="C275" s="79"/>
      <c r="D275" s="80">
        <f t="shared" ref="D275:J275" si="140">B113*$C275*D$172</f>
        <v>0</v>
      </c>
      <c r="E275" s="80">
        <f t="shared" si="140"/>
        <v>0</v>
      </c>
      <c r="F275" s="80">
        <f t="shared" si="140"/>
        <v>0</v>
      </c>
      <c r="G275" s="80">
        <f t="shared" si="140"/>
        <v>0</v>
      </c>
      <c r="H275" s="80">
        <f t="shared" si="140"/>
        <v>0</v>
      </c>
      <c r="I275" s="80">
        <f t="shared" si="140"/>
        <v>0</v>
      </c>
      <c r="J275" s="80">
        <f t="shared" si="140"/>
        <v>0</v>
      </c>
      <c r="K275" s="73"/>
      <c r="L275" s="73"/>
    </row>
    <row r="276" spans="1:12" ht="15.75" customHeight="1">
      <c r="A276" s="270" t="str">
        <f t="shared" si="139"/>
        <v>Custard Apple</v>
      </c>
      <c r="B276" s="78" t="s">
        <v>588</v>
      </c>
      <c r="C276" s="79"/>
      <c r="D276" s="80">
        <f t="shared" ref="D276:J276" si="141">B114*$C276*D$172</f>
        <v>0</v>
      </c>
      <c r="E276" s="80">
        <f t="shared" si="141"/>
        <v>0</v>
      </c>
      <c r="F276" s="80">
        <f t="shared" si="141"/>
        <v>0</v>
      </c>
      <c r="G276" s="80">
        <f t="shared" si="141"/>
        <v>0</v>
      </c>
      <c r="H276" s="80">
        <f t="shared" si="141"/>
        <v>0</v>
      </c>
      <c r="I276" s="80">
        <f t="shared" si="141"/>
        <v>0</v>
      </c>
      <c r="J276" s="80">
        <f t="shared" si="141"/>
        <v>0</v>
      </c>
      <c r="K276" s="73"/>
      <c r="L276" s="73"/>
    </row>
    <row r="277" spans="1:12" ht="15.75" customHeight="1">
      <c r="A277" s="270" t="str">
        <f t="shared" si="139"/>
        <v>Guava</v>
      </c>
      <c r="B277" s="78" t="s">
        <v>588</v>
      </c>
      <c r="C277" s="79"/>
      <c r="D277" s="80">
        <f t="shared" ref="D277:J277" si="142">B115*$C277*D$172</f>
        <v>0</v>
      </c>
      <c r="E277" s="80">
        <f t="shared" si="142"/>
        <v>0</v>
      </c>
      <c r="F277" s="80">
        <f t="shared" si="142"/>
        <v>0</v>
      </c>
      <c r="G277" s="80">
        <f t="shared" si="142"/>
        <v>0</v>
      </c>
      <c r="H277" s="80">
        <f t="shared" si="142"/>
        <v>0</v>
      </c>
      <c r="I277" s="80">
        <f t="shared" si="142"/>
        <v>0</v>
      </c>
      <c r="J277" s="80">
        <f t="shared" si="142"/>
        <v>0</v>
      </c>
      <c r="K277" s="73"/>
      <c r="L277" s="73"/>
    </row>
    <row r="278" spans="1:12" ht="15.75" customHeight="1">
      <c r="A278" s="270" t="str">
        <f t="shared" si="139"/>
        <v>Citrus</v>
      </c>
      <c r="B278" s="78" t="s">
        <v>588</v>
      </c>
      <c r="C278" s="79"/>
      <c r="D278" s="80">
        <f t="shared" ref="D278:J278" si="143">B116*$C278*D$172</f>
        <v>0</v>
      </c>
      <c r="E278" s="80">
        <f t="shared" si="143"/>
        <v>0</v>
      </c>
      <c r="F278" s="80">
        <f t="shared" si="143"/>
        <v>0</v>
      </c>
      <c r="G278" s="80">
        <f t="shared" si="143"/>
        <v>0</v>
      </c>
      <c r="H278" s="80">
        <f t="shared" si="143"/>
        <v>0</v>
      </c>
      <c r="I278" s="80">
        <f t="shared" si="143"/>
        <v>0</v>
      </c>
      <c r="J278" s="80">
        <f t="shared" si="143"/>
        <v>0</v>
      </c>
      <c r="K278" s="73"/>
      <c r="L278" s="73"/>
    </row>
    <row r="279" spans="1:12" ht="15.75" customHeight="1">
      <c r="A279" s="78">
        <f t="shared" si="139"/>
        <v>0</v>
      </c>
      <c r="B279" s="78" t="s">
        <v>588</v>
      </c>
      <c r="C279" s="79"/>
      <c r="D279" s="80">
        <f t="shared" ref="D279:J279" si="144">B117*$C279*D$172</f>
        <v>0</v>
      </c>
      <c r="E279" s="80">
        <f t="shared" si="144"/>
        <v>0</v>
      </c>
      <c r="F279" s="80">
        <f t="shared" si="144"/>
        <v>0</v>
      </c>
      <c r="G279" s="80">
        <f t="shared" si="144"/>
        <v>0</v>
      </c>
      <c r="H279" s="80">
        <f t="shared" si="144"/>
        <v>0</v>
      </c>
      <c r="I279" s="80">
        <f t="shared" si="144"/>
        <v>0</v>
      </c>
      <c r="J279" s="80">
        <f t="shared" si="144"/>
        <v>0</v>
      </c>
      <c r="K279" s="73"/>
      <c r="L279" s="73"/>
    </row>
    <row r="280" spans="1:12" ht="15.75" customHeight="1">
      <c r="A280" s="78">
        <f>A230</f>
        <v>0</v>
      </c>
      <c r="B280" s="78"/>
      <c r="C280" s="79"/>
      <c r="D280" s="80">
        <f t="shared" ref="D280:J280" si="145">B118*$C280*D$172</f>
        <v>0</v>
      </c>
      <c r="E280" s="80">
        <f t="shared" si="145"/>
        <v>0</v>
      </c>
      <c r="F280" s="80">
        <f t="shared" si="145"/>
        <v>0</v>
      </c>
      <c r="G280" s="80">
        <f t="shared" si="145"/>
        <v>0</v>
      </c>
      <c r="H280" s="80">
        <f t="shared" si="145"/>
        <v>0</v>
      </c>
      <c r="I280" s="80">
        <f t="shared" si="145"/>
        <v>0</v>
      </c>
      <c r="J280" s="80">
        <f t="shared" si="145"/>
        <v>0</v>
      </c>
      <c r="K280" s="73"/>
      <c r="L280" s="73"/>
    </row>
    <row r="281" spans="1:12" ht="15.75" customHeight="1">
      <c r="A281" s="78"/>
      <c r="B281" s="78"/>
      <c r="C281" s="79"/>
      <c r="D281" s="80"/>
      <c r="E281" s="80"/>
      <c r="F281" s="80"/>
      <c r="G281" s="80"/>
      <c r="H281" s="80"/>
      <c r="I281" s="80"/>
      <c r="J281" s="80"/>
      <c r="K281" s="73"/>
      <c r="L281" s="73"/>
    </row>
    <row r="282" spans="1:12" ht="15.75" customHeight="1">
      <c r="A282" s="78" t="s">
        <v>591</v>
      </c>
      <c r="B282" s="50">
        <v>5</v>
      </c>
      <c r="C282" s="50"/>
      <c r="D282" s="80">
        <f t="shared" ref="D282:J282" si="146">B10*$B$282*$C$282*D172</f>
        <v>0</v>
      </c>
      <c r="E282" s="80">
        <f t="shared" si="146"/>
        <v>0</v>
      </c>
      <c r="F282" s="80">
        <f t="shared" si="146"/>
        <v>0</v>
      </c>
      <c r="G282" s="80">
        <f t="shared" si="146"/>
        <v>0</v>
      </c>
      <c r="H282" s="80">
        <f t="shared" si="146"/>
        <v>0</v>
      </c>
      <c r="I282" s="80">
        <f t="shared" si="146"/>
        <v>0</v>
      </c>
      <c r="J282" s="80">
        <f t="shared" si="146"/>
        <v>0</v>
      </c>
      <c r="K282" s="73"/>
      <c r="L282" s="73"/>
    </row>
    <row r="283" spans="1:12" ht="15.75" customHeight="1">
      <c r="A283" s="78" t="s">
        <v>592</v>
      </c>
      <c r="B283" s="78">
        <f>'2.Capex Details'!H55*0.746*8</f>
        <v>0</v>
      </c>
      <c r="C283" s="50"/>
      <c r="D283" s="80">
        <f t="shared" ref="D283:J283" si="147">$B$283*$C$283*D172*B10</f>
        <v>0</v>
      </c>
      <c r="E283" s="80">
        <f t="shared" si="147"/>
        <v>0</v>
      </c>
      <c r="F283" s="80">
        <f t="shared" si="147"/>
        <v>0</v>
      </c>
      <c r="G283" s="80">
        <f t="shared" si="147"/>
        <v>0</v>
      </c>
      <c r="H283" s="80">
        <f t="shared" si="147"/>
        <v>0</v>
      </c>
      <c r="I283" s="80">
        <f t="shared" si="147"/>
        <v>0</v>
      </c>
      <c r="J283" s="80">
        <f t="shared" si="147"/>
        <v>0</v>
      </c>
      <c r="K283" s="73"/>
      <c r="L283" s="73"/>
    </row>
    <row r="284" spans="1:12" ht="15.75" customHeight="1">
      <c r="A284" s="78" t="s">
        <v>593</v>
      </c>
      <c r="B284" s="78"/>
      <c r="C284" s="50"/>
      <c r="D284" s="80">
        <f t="shared" ref="D284:J284" si="148">SUM(B120:B141)*$C$284*D172</f>
        <v>0</v>
      </c>
      <c r="E284" s="80">
        <f t="shared" si="148"/>
        <v>0</v>
      </c>
      <c r="F284" s="80">
        <f t="shared" si="148"/>
        <v>0</v>
      </c>
      <c r="G284" s="80">
        <f t="shared" si="148"/>
        <v>0</v>
      </c>
      <c r="H284" s="80">
        <f t="shared" si="148"/>
        <v>0</v>
      </c>
      <c r="I284" s="80">
        <f t="shared" si="148"/>
        <v>0</v>
      </c>
      <c r="J284" s="80">
        <f t="shared" si="148"/>
        <v>0</v>
      </c>
      <c r="K284" s="73"/>
      <c r="L284" s="73"/>
    </row>
    <row r="285" spans="1:12" ht="15.75" customHeight="1">
      <c r="A285" s="78" t="s">
        <v>594</v>
      </c>
      <c r="B285" s="78"/>
      <c r="C285" s="50"/>
      <c r="D285" s="80">
        <f t="shared" ref="D285:J285" si="149">SUM(B120:B141)*$C$285*D172</f>
        <v>0</v>
      </c>
      <c r="E285" s="80">
        <f t="shared" si="149"/>
        <v>0</v>
      </c>
      <c r="F285" s="80">
        <f t="shared" si="149"/>
        <v>0</v>
      </c>
      <c r="G285" s="80">
        <f t="shared" si="149"/>
        <v>0</v>
      </c>
      <c r="H285" s="80">
        <f t="shared" si="149"/>
        <v>0</v>
      </c>
      <c r="I285" s="80">
        <f t="shared" si="149"/>
        <v>0</v>
      </c>
      <c r="J285" s="80">
        <f t="shared" si="149"/>
        <v>0</v>
      </c>
      <c r="K285" s="73"/>
      <c r="L285" s="73"/>
    </row>
    <row r="286" spans="1:12" ht="15.75" customHeight="1">
      <c r="A286" s="140"/>
      <c r="B286" s="140"/>
      <c r="C286" s="140"/>
      <c r="D286" s="140"/>
      <c r="E286" s="140"/>
      <c r="F286" s="140"/>
      <c r="G286" s="140"/>
      <c r="H286" s="140"/>
      <c r="I286" s="140"/>
      <c r="J286" s="140"/>
      <c r="K286" s="73"/>
      <c r="L286" s="73"/>
    </row>
    <row r="287" spans="1:12" ht="15.75" customHeight="1">
      <c r="A287" s="140"/>
      <c r="B287" s="140"/>
      <c r="C287" s="140"/>
      <c r="D287" s="140"/>
      <c r="E287" s="140"/>
      <c r="F287" s="140"/>
      <c r="G287" s="140"/>
      <c r="H287" s="140"/>
      <c r="I287" s="140"/>
      <c r="J287" s="140"/>
      <c r="K287" s="73"/>
      <c r="L287" s="73"/>
    </row>
    <row r="288" spans="1:12" ht="15.75" customHeight="1">
      <c r="A288" s="140"/>
      <c r="B288" s="140"/>
      <c r="C288" s="140"/>
      <c r="D288" s="140"/>
      <c r="E288" s="140"/>
      <c r="F288" s="140"/>
      <c r="G288" s="140"/>
      <c r="H288" s="140"/>
      <c r="I288" s="140"/>
      <c r="J288" s="140"/>
      <c r="K288" s="73"/>
      <c r="L288" s="73"/>
    </row>
    <row r="289" spans="1:20" ht="15.75" customHeight="1">
      <c r="A289" s="78" t="s">
        <v>595</v>
      </c>
      <c r="B289" s="78"/>
      <c r="C289" s="78"/>
      <c r="D289" s="270"/>
      <c r="E289" s="270">
        <f>'5.Closing Stock &amp; W Capital'!F7</f>
        <v>2148525</v>
      </c>
      <c r="F289" s="270">
        <f>'5.Closing Stock &amp; W Capital'!G7</f>
        <v>2255951.25</v>
      </c>
      <c r="G289" s="270">
        <f>'5.Closing Stock &amp; W Capital'!H7</f>
        <v>2368748.8125</v>
      </c>
      <c r="H289" s="270">
        <f>'5.Closing Stock &amp; W Capital'!I7</f>
        <v>2487186.2531250007</v>
      </c>
      <c r="I289" s="270">
        <f>'5.Closing Stock &amp; W Capital'!J7</f>
        <v>2611545.5657812506</v>
      </c>
      <c r="J289" s="270">
        <f>'5.Closing Stock &amp; W Capital'!K7</f>
        <v>2742122.8440703135</v>
      </c>
      <c r="K289" s="73"/>
      <c r="L289" s="73"/>
    </row>
    <row r="290" spans="1:20" ht="15.75" customHeight="1">
      <c r="A290" s="78" t="s">
        <v>596</v>
      </c>
      <c r="B290" s="78"/>
      <c r="C290" s="270"/>
      <c r="D290" s="270">
        <f>'5.Closing Stock &amp; W Capital'!E16</f>
        <v>2148525</v>
      </c>
      <c r="E290" s="270">
        <f>'5.Closing Stock &amp; W Capital'!F16</f>
        <v>2255951.25</v>
      </c>
      <c r="F290" s="270">
        <f>'5.Closing Stock &amp; W Capital'!G16</f>
        <v>2368748.8125</v>
      </c>
      <c r="G290" s="270">
        <f>'5.Closing Stock &amp; W Capital'!H16</f>
        <v>2487186.2531250007</v>
      </c>
      <c r="H290" s="270">
        <f>'5.Closing Stock &amp; W Capital'!I16</f>
        <v>2611545.5657812506</v>
      </c>
      <c r="I290" s="270">
        <f>'5.Closing Stock &amp; W Capital'!J16</f>
        <v>2742122.8440703135</v>
      </c>
      <c r="J290" s="270">
        <f>'5.Closing Stock &amp; W Capital'!K16</f>
        <v>2879228.9862738289</v>
      </c>
      <c r="K290" s="73"/>
      <c r="L290" s="73"/>
    </row>
    <row r="291" spans="1:20" ht="15.75" customHeight="1">
      <c r="A291" s="78"/>
      <c r="B291" s="78"/>
      <c r="C291" s="80"/>
      <c r="D291" s="270"/>
      <c r="E291" s="270"/>
      <c r="F291" s="270"/>
      <c r="G291" s="270"/>
      <c r="H291" s="270"/>
      <c r="I291" s="270"/>
      <c r="J291" s="270"/>
      <c r="K291" s="73"/>
      <c r="L291" s="73"/>
      <c r="M291" s="73"/>
      <c r="N291" s="73"/>
      <c r="O291" s="73"/>
      <c r="P291" s="73"/>
      <c r="Q291" s="73"/>
      <c r="R291" s="73"/>
      <c r="S291" s="73"/>
      <c r="T291" s="73"/>
    </row>
    <row r="292" spans="1:20" ht="15.75" customHeight="1">
      <c r="A292" s="81" t="s">
        <v>359</v>
      </c>
      <c r="B292" s="81"/>
      <c r="C292" s="81"/>
      <c r="D292" s="82">
        <f t="shared" ref="D292:J292" si="150">SUM(D233:D289)-D290</f>
        <v>45596475</v>
      </c>
      <c r="E292" s="82">
        <f t="shared" si="150"/>
        <v>50024823.75</v>
      </c>
      <c r="F292" s="82">
        <f t="shared" si="150"/>
        <v>52526064.9375</v>
      </c>
      <c r="G292" s="82">
        <f t="shared" si="150"/>
        <v>55152368.184375018</v>
      </c>
      <c r="H292" s="82">
        <f t="shared" si="150"/>
        <v>57909986.593593761</v>
      </c>
      <c r="I292" s="82">
        <f t="shared" si="150"/>
        <v>60805485.923273459</v>
      </c>
      <c r="J292" s="82">
        <f t="shared" si="150"/>
        <v>63845760.219437137</v>
      </c>
      <c r="K292" s="73"/>
      <c r="L292" s="73"/>
      <c r="M292" s="73"/>
      <c r="N292" s="73"/>
      <c r="O292" s="73"/>
      <c r="P292" s="73"/>
      <c r="Q292" s="73"/>
      <c r="R292" s="73"/>
      <c r="S292" s="73"/>
      <c r="T292" s="73"/>
    </row>
    <row r="293" spans="1:20" ht="15.75" customHeight="1">
      <c r="A293" s="81" t="s">
        <v>360</v>
      </c>
      <c r="B293" s="78"/>
      <c r="C293" s="78"/>
      <c r="D293" s="215"/>
      <c r="E293" s="215"/>
      <c r="F293" s="215"/>
      <c r="G293" s="215"/>
      <c r="H293" s="215"/>
      <c r="I293" s="78"/>
      <c r="J293" s="78"/>
      <c r="K293" s="73"/>
      <c r="L293" s="73"/>
      <c r="M293" s="73"/>
      <c r="N293" s="73"/>
      <c r="O293" s="73"/>
      <c r="P293" s="73"/>
      <c r="Q293" s="73"/>
      <c r="R293" s="73"/>
      <c r="S293" s="73"/>
      <c r="T293" s="73"/>
    </row>
    <row r="294" spans="1:20" ht="15.75" customHeight="1">
      <c r="A294" s="78" t="s">
        <v>597</v>
      </c>
      <c r="B294" s="50">
        <v>1</v>
      </c>
      <c r="C294" s="79"/>
      <c r="D294" s="80">
        <f t="shared" ref="D294:J294" si="151">$B$294*$C$294*12*D172</f>
        <v>0</v>
      </c>
      <c r="E294" s="80">
        <f t="shared" si="151"/>
        <v>0</v>
      </c>
      <c r="F294" s="80">
        <f t="shared" si="151"/>
        <v>0</v>
      </c>
      <c r="G294" s="80">
        <f t="shared" si="151"/>
        <v>0</v>
      </c>
      <c r="H294" s="80">
        <f t="shared" si="151"/>
        <v>0</v>
      </c>
      <c r="I294" s="80">
        <f t="shared" si="151"/>
        <v>0</v>
      </c>
      <c r="J294" s="80">
        <f t="shared" si="151"/>
        <v>0</v>
      </c>
      <c r="K294" s="73"/>
      <c r="L294" s="73"/>
      <c r="M294" s="73"/>
      <c r="N294" s="73"/>
      <c r="O294" s="73"/>
      <c r="P294" s="73"/>
      <c r="Q294" s="73"/>
      <c r="R294" s="73"/>
      <c r="S294" s="73"/>
      <c r="T294" s="73"/>
    </row>
    <row r="295" spans="1:20" ht="15.75" customHeight="1">
      <c r="A295" s="78"/>
      <c r="B295" s="50"/>
      <c r="C295" s="79"/>
      <c r="D295" s="80"/>
      <c r="E295" s="80"/>
      <c r="F295" s="80"/>
      <c r="G295" s="80"/>
      <c r="H295" s="80"/>
      <c r="I295" s="80"/>
      <c r="J295" s="80"/>
      <c r="K295" s="73"/>
      <c r="L295" s="73"/>
      <c r="M295" s="73"/>
      <c r="N295" s="275"/>
      <c r="O295" s="73"/>
      <c r="P295" s="73"/>
      <c r="Q295" s="73"/>
      <c r="R295" s="73"/>
      <c r="S295" s="73"/>
      <c r="T295" s="73"/>
    </row>
    <row r="296" spans="1:20" ht="15.75" customHeight="1">
      <c r="A296" s="78"/>
      <c r="B296" s="50"/>
      <c r="C296" s="79"/>
      <c r="D296" s="80"/>
      <c r="E296" s="80"/>
      <c r="F296" s="80"/>
      <c r="G296" s="80"/>
      <c r="H296" s="80"/>
      <c r="I296" s="80"/>
      <c r="J296" s="80"/>
      <c r="K296" s="73"/>
      <c r="L296" s="73"/>
      <c r="M296" s="73"/>
      <c r="N296" s="73"/>
      <c r="O296" s="73"/>
      <c r="P296" s="73"/>
      <c r="Q296" s="73"/>
      <c r="R296" s="73"/>
      <c r="S296" s="73"/>
      <c r="T296" s="73"/>
    </row>
    <row r="297" spans="1:20" ht="15.75" customHeight="1">
      <c r="A297" s="78"/>
      <c r="B297" s="50"/>
      <c r="C297" s="79"/>
      <c r="D297" s="80"/>
      <c r="E297" s="80"/>
      <c r="F297" s="80"/>
      <c r="G297" s="80"/>
      <c r="H297" s="80"/>
      <c r="I297" s="80"/>
      <c r="J297" s="80"/>
      <c r="K297" s="73"/>
      <c r="L297" s="73"/>
      <c r="M297" s="73"/>
      <c r="N297" s="73"/>
      <c r="O297" s="73"/>
      <c r="P297" s="73"/>
      <c r="Q297" s="73"/>
      <c r="R297" s="73"/>
      <c r="S297" s="73"/>
      <c r="T297" s="73"/>
    </row>
    <row r="298" spans="1:20" ht="15.75" customHeight="1">
      <c r="A298" s="78"/>
      <c r="B298" s="50"/>
      <c r="C298" s="79"/>
      <c r="D298" s="80"/>
      <c r="E298" s="80"/>
      <c r="F298" s="80"/>
      <c r="G298" s="80"/>
      <c r="H298" s="80"/>
      <c r="I298" s="80"/>
      <c r="J298" s="80"/>
      <c r="K298" s="73"/>
      <c r="L298" s="73"/>
      <c r="M298" s="73"/>
      <c r="N298" s="73"/>
      <c r="O298" s="73"/>
      <c r="P298" s="73"/>
      <c r="Q298" s="73"/>
      <c r="R298" s="73"/>
      <c r="S298" s="73"/>
      <c r="T298" s="73"/>
    </row>
    <row r="299" spans="1:20" ht="15.75" customHeight="1">
      <c r="A299" s="78"/>
      <c r="B299" s="50"/>
      <c r="C299" s="79"/>
      <c r="D299" s="80"/>
      <c r="E299" s="80"/>
      <c r="F299" s="80"/>
      <c r="G299" s="80"/>
      <c r="H299" s="80"/>
      <c r="I299" s="80"/>
      <c r="J299" s="80"/>
      <c r="K299" s="73"/>
      <c r="L299" s="73"/>
      <c r="M299" s="73"/>
      <c r="N299" s="73"/>
      <c r="O299" s="73"/>
      <c r="P299" s="73"/>
      <c r="Q299" s="73"/>
      <c r="R299" s="73"/>
      <c r="S299" s="73"/>
      <c r="T299" s="73"/>
    </row>
    <row r="300" spans="1:20" ht="15.75" customHeight="1">
      <c r="A300" s="78"/>
      <c r="B300" s="50"/>
      <c r="C300" s="79"/>
      <c r="D300" s="80"/>
      <c r="E300" s="80"/>
      <c r="F300" s="80"/>
      <c r="G300" s="80"/>
      <c r="H300" s="80"/>
      <c r="I300" s="80"/>
      <c r="J300" s="80"/>
      <c r="K300" s="73"/>
      <c r="L300" s="73"/>
      <c r="M300" s="73"/>
      <c r="N300" s="73"/>
      <c r="O300" s="73"/>
      <c r="P300" s="73"/>
      <c r="Q300" s="73"/>
      <c r="R300" s="73"/>
      <c r="S300" s="73"/>
      <c r="T300" s="73"/>
    </row>
    <row r="301" spans="1:20" ht="15.75" customHeight="1">
      <c r="A301" s="81" t="s">
        <v>362</v>
      </c>
      <c r="B301" s="55"/>
      <c r="C301" s="55"/>
      <c r="D301" s="82">
        <f t="shared" ref="D301:J301" si="152">SUM(D294:D300)</f>
        <v>0</v>
      </c>
      <c r="E301" s="82">
        <f t="shared" si="152"/>
        <v>0</v>
      </c>
      <c r="F301" s="82">
        <f t="shared" si="152"/>
        <v>0</v>
      </c>
      <c r="G301" s="82">
        <f t="shared" si="152"/>
        <v>0</v>
      </c>
      <c r="H301" s="82">
        <f t="shared" si="152"/>
        <v>0</v>
      </c>
      <c r="I301" s="82">
        <f t="shared" si="152"/>
        <v>0</v>
      </c>
      <c r="J301" s="82">
        <f t="shared" si="152"/>
        <v>0</v>
      </c>
      <c r="K301" s="73"/>
      <c r="L301" s="73"/>
      <c r="M301" s="73"/>
      <c r="N301" s="275"/>
      <c r="O301" s="73"/>
      <c r="P301" s="73"/>
      <c r="Q301" s="73"/>
      <c r="R301" s="73"/>
      <c r="S301" s="73"/>
      <c r="T301" s="73"/>
    </row>
    <row r="302" spans="1:20" ht="15.75" customHeight="1">
      <c r="A302" s="81" t="s">
        <v>598</v>
      </c>
      <c r="B302" s="81"/>
      <c r="C302" s="81"/>
      <c r="D302" s="82">
        <f t="shared" ref="D302:J302" si="153">D292+D301</f>
        <v>45596475</v>
      </c>
      <c r="E302" s="82">
        <f t="shared" si="153"/>
        <v>50024823.75</v>
      </c>
      <c r="F302" s="82">
        <f t="shared" si="153"/>
        <v>52526064.9375</v>
      </c>
      <c r="G302" s="82">
        <f t="shared" si="153"/>
        <v>55152368.184375018</v>
      </c>
      <c r="H302" s="82">
        <f t="shared" si="153"/>
        <v>57909986.593593761</v>
      </c>
      <c r="I302" s="82">
        <f t="shared" si="153"/>
        <v>60805485.923273459</v>
      </c>
      <c r="J302" s="82">
        <f t="shared" si="153"/>
        <v>63845760.219437137</v>
      </c>
      <c r="K302" s="73"/>
      <c r="L302" s="73"/>
      <c r="M302" s="73"/>
      <c r="N302" s="73"/>
      <c r="O302" s="73"/>
      <c r="P302" s="73"/>
      <c r="Q302" s="73"/>
      <c r="R302" s="73"/>
      <c r="S302" s="73"/>
      <c r="T302" s="73"/>
    </row>
    <row r="303" spans="1:20" ht="15.75" customHeight="1">
      <c r="A303" s="78"/>
      <c r="B303" s="78"/>
      <c r="C303" s="78"/>
      <c r="D303" s="215"/>
      <c r="E303" s="215"/>
      <c r="F303" s="215"/>
      <c r="G303" s="215"/>
      <c r="H303" s="215"/>
      <c r="I303" s="78"/>
      <c r="J303" s="78"/>
      <c r="K303" s="73"/>
      <c r="L303" s="73"/>
      <c r="M303" s="73"/>
      <c r="N303" s="73"/>
      <c r="O303" s="73"/>
      <c r="P303" s="73"/>
      <c r="Q303" s="73"/>
      <c r="R303" s="73"/>
      <c r="S303" s="73"/>
      <c r="T303" s="73"/>
    </row>
    <row r="304" spans="1:20" ht="15.75" customHeight="1">
      <c r="A304" s="81"/>
      <c r="B304" s="81"/>
      <c r="C304" s="81"/>
      <c r="D304" s="215"/>
      <c r="E304" s="215"/>
      <c r="F304" s="215"/>
      <c r="G304" s="215"/>
      <c r="H304" s="215"/>
      <c r="I304" s="78"/>
      <c r="J304" s="78"/>
      <c r="K304" s="73"/>
      <c r="L304" s="73"/>
      <c r="M304" s="73"/>
      <c r="N304" s="73"/>
      <c r="O304" s="73"/>
      <c r="P304" s="73"/>
      <c r="Q304" s="73"/>
      <c r="R304" s="73"/>
      <c r="S304" s="73"/>
      <c r="T304" s="73"/>
    </row>
    <row r="305" spans="1:20" ht="15.75" customHeight="1">
      <c r="A305" s="81" t="s">
        <v>599</v>
      </c>
      <c r="B305" s="81"/>
      <c r="C305" s="81"/>
      <c r="D305" s="82">
        <f t="shared" ref="D305:J305" si="154">D229-D302</f>
        <v>348627.5</v>
      </c>
      <c r="E305" s="82">
        <f t="shared" si="154"/>
        <v>470201.25</v>
      </c>
      <c r="F305" s="82">
        <f t="shared" si="154"/>
        <v>493711.3125</v>
      </c>
      <c r="G305" s="82">
        <f t="shared" si="154"/>
        <v>518396.87812499702</v>
      </c>
      <c r="H305" s="82">
        <f t="shared" si="154"/>
        <v>544316.7220312506</v>
      </c>
      <c r="I305" s="82">
        <f t="shared" si="154"/>
        <v>571532.55813281238</v>
      </c>
      <c r="J305" s="82">
        <f t="shared" si="154"/>
        <v>600109.18603944778</v>
      </c>
      <c r="K305" s="73"/>
      <c r="L305" s="73"/>
      <c r="M305" s="73"/>
      <c r="N305" s="73"/>
      <c r="O305" s="73"/>
      <c r="P305" s="73"/>
      <c r="Q305" s="73"/>
      <c r="R305" s="73"/>
      <c r="S305" s="73"/>
      <c r="T305" s="73"/>
    </row>
    <row r="306" spans="1:20" ht="15.75" customHeight="1">
      <c r="A306" s="73"/>
      <c r="B306" s="73"/>
      <c r="C306" s="73"/>
      <c r="D306" s="73"/>
      <c r="E306" s="73"/>
      <c r="F306" s="73"/>
      <c r="G306" s="73"/>
      <c r="H306" s="73"/>
      <c r="I306" s="73"/>
      <c r="J306" s="73"/>
    </row>
    <row r="307" spans="1:20" ht="15.75" customHeight="1">
      <c r="A307" s="73" t="s">
        <v>600</v>
      </c>
      <c r="B307" s="73"/>
      <c r="C307" s="73"/>
      <c r="D307" s="73"/>
      <c r="E307" s="73"/>
      <c r="F307" s="73"/>
      <c r="G307" s="73"/>
      <c r="H307" s="73"/>
      <c r="I307" s="73"/>
      <c r="J307" s="73"/>
    </row>
    <row r="308" spans="1:20" ht="15.75" customHeight="1">
      <c r="A308" s="396" t="s">
        <v>601</v>
      </c>
      <c r="B308" s="378"/>
      <c r="C308" s="378"/>
      <c r="D308" s="378"/>
      <c r="E308" s="378"/>
      <c r="F308" s="378"/>
      <c r="G308" s="378"/>
      <c r="H308" s="378"/>
      <c r="I308" s="378"/>
      <c r="J308" s="378"/>
    </row>
    <row r="309" spans="1:20" ht="15.75" customHeight="1"/>
    <row r="310" spans="1:20" ht="15.75" customHeight="1">
      <c r="A310" t="s">
        <v>314</v>
      </c>
    </row>
    <row r="311" spans="1:20" ht="15.75" customHeight="1">
      <c r="A311">
        <v>1</v>
      </c>
      <c r="B311" t="s">
        <v>602</v>
      </c>
    </row>
    <row r="312" spans="1:20" ht="15.75" customHeight="1">
      <c r="A312">
        <v>2</v>
      </c>
      <c r="B312" t="s">
        <v>603</v>
      </c>
    </row>
    <row r="313" spans="1:20" ht="15.75" customHeight="1">
      <c r="A313">
        <v>3</v>
      </c>
      <c r="B313" s="73" t="s">
        <v>604</v>
      </c>
    </row>
  </sheetData>
  <mergeCells count="5">
    <mergeCell ref="A170:J170"/>
    <mergeCell ref="A2:H2"/>
    <mergeCell ref="A308:J308"/>
    <mergeCell ref="F4:H4"/>
    <mergeCell ref="A3:H3"/>
  </mergeCells>
  <pageMargins left="0.7" right="0.7" top="0.75" bottom="0.75" header="0" footer="0"/>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89"/>
  <sheetViews>
    <sheetView topLeftCell="A172" workbookViewId="0">
      <selection activeCell="C193" sqref="C193"/>
    </sheetView>
  </sheetViews>
  <sheetFormatPr defaultColWidth="14.42578125" defaultRowHeight="15" customHeight="1"/>
  <cols>
    <col min="1" max="1" width="41.7109375" customWidth="1"/>
    <col min="2" max="3" width="10.5703125" customWidth="1"/>
    <col min="4" max="4" width="16.28515625" bestFit="1" customWidth="1"/>
    <col min="5" max="8" width="17.28515625" customWidth="1"/>
    <col min="9" max="10" width="16.85546875" customWidth="1"/>
    <col min="11" max="11" width="8.7109375" customWidth="1"/>
  </cols>
  <sheetData>
    <row r="3" spans="1:9" ht="18.75">
      <c r="A3" s="394" t="s">
        <v>605</v>
      </c>
      <c r="B3" s="378"/>
      <c r="C3" s="378"/>
      <c r="D3" s="378"/>
      <c r="E3" s="378"/>
      <c r="F3" s="378"/>
      <c r="G3" s="378"/>
      <c r="H3" s="378"/>
    </row>
    <row r="4" spans="1:9" ht="18.75">
      <c r="A4" s="394" t="s">
        <v>606</v>
      </c>
      <c r="B4" s="378"/>
      <c r="C4" s="378"/>
      <c r="D4" s="378"/>
      <c r="E4" s="378"/>
      <c r="F4" s="378"/>
      <c r="G4" s="378"/>
      <c r="H4" s="378"/>
    </row>
    <row r="5" spans="1:9">
      <c r="A5" s="73" t="s">
        <v>129</v>
      </c>
      <c r="B5" s="264">
        <v>15</v>
      </c>
      <c r="C5" s="73" t="s">
        <v>607</v>
      </c>
      <c r="D5" s="73"/>
      <c r="E5" s="73"/>
      <c r="F5" s="73"/>
      <c r="G5" s="73"/>
      <c r="H5" s="73"/>
    </row>
    <row r="6" spans="1:9">
      <c r="A6" s="73" t="s">
        <v>575</v>
      </c>
      <c r="B6" s="122">
        <v>7</v>
      </c>
      <c r="C6" s="73"/>
      <c r="D6" s="73"/>
      <c r="E6" s="73"/>
      <c r="F6" s="73"/>
      <c r="G6" s="73"/>
      <c r="H6" s="73"/>
    </row>
    <row r="7" spans="1:9">
      <c r="A7" s="73"/>
      <c r="B7" s="122"/>
      <c r="C7" s="73"/>
      <c r="D7" s="73"/>
      <c r="E7" s="73"/>
      <c r="F7" s="73"/>
      <c r="G7" s="73"/>
      <c r="H7" s="73"/>
    </row>
    <row r="8" spans="1:9">
      <c r="A8" s="73"/>
      <c r="B8" s="122"/>
      <c r="C8" s="73"/>
      <c r="D8" s="73"/>
      <c r="E8" s="73"/>
      <c r="F8" s="73"/>
      <c r="G8" s="73"/>
      <c r="H8" s="73"/>
    </row>
    <row r="9" spans="1:9">
      <c r="A9" s="73"/>
      <c r="B9" s="73"/>
      <c r="C9" s="73"/>
      <c r="D9" s="73"/>
      <c r="E9" s="73"/>
      <c r="F9" s="73"/>
      <c r="G9" s="73"/>
      <c r="H9" s="73"/>
      <c r="I9">
        <v>40</v>
      </c>
    </row>
    <row r="10" spans="1:9">
      <c r="A10" s="73"/>
      <c r="B10" s="73"/>
      <c r="C10" s="73"/>
      <c r="D10" s="73"/>
      <c r="E10" s="73"/>
      <c r="F10" s="73"/>
      <c r="G10" s="73"/>
      <c r="H10" s="73"/>
    </row>
    <row r="11" spans="1:9">
      <c r="A11" s="130" t="s">
        <v>150</v>
      </c>
      <c r="B11" s="131" t="s">
        <v>153</v>
      </c>
      <c r="C11" s="131" t="s">
        <v>154</v>
      </c>
      <c r="D11" s="131" t="s">
        <v>155</v>
      </c>
      <c r="E11" s="131" t="s">
        <v>156</v>
      </c>
      <c r="F11" s="131" t="s">
        <v>157</v>
      </c>
      <c r="G11" s="131" t="s">
        <v>158</v>
      </c>
      <c r="H11" s="131" t="s">
        <v>159</v>
      </c>
    </row>
    <row r="12" spans="1:9">
      <c r="A12" s="78" t="s">
        <v>608</v>
      </c>
      <c r="B12" s="276">
        <f t="shared" ref="B12:H12" si="0">B32/($B$5*$B$6)</f>
        <v>175.23809523809524</v>
      </c>
      <c r="C12" s="276">
        <f t="shared" si="0"/>
        <v>204.76190476190476</v>
      </c>
      <c r="D12" s="276">
        <f>D32/($B$5*$B$6)</f>
        <v>204.76190476190476</v>
      </c>
      <c r="E12" s="276">
        <f>E32/($B$5*$B$6)</f>
        <v>204.76190476190476</v>
      </c>
      <c r="F12" s="276">
        <f t="shared" si="0"/>
        <v>204.76190476190476</v>
      </c>
      <c r="G12" s="276">
        <f t="shared" si="0"/>
        <v>204.76190476190476</v>
      </c>
      <c r="H12" s="276">
        <f t="shared" si="0"/>
        <v>204.76190476190476</v>
      </c>
    </row>
    <row r="13" spans="1:9">
      <c r="A13" s="78" t="str">
        <f>'10.Grain Production details'!A68</f>
        <v>Soybean</v>
      </c>
      <c r="B13" s="78">
        <f>'10.Grain Production details'!B68</f>
        <v>0</v>
      </c>
      <c r="C13" s="78">
        <f>'10.Grain Production details'!C68</f>
        <v>0</v>
      </c>
      <c r="D13" s="78">
        <f>'10.Grain Production details'!D68</f>
        <v>0</v>
      </c>
      <c r="E13" s="78">
        <f>'10.Grain Production details'!E68</f>
        <v>0</v>
      </c>
      <c r="F13" s="78">
        <f>'10.Grain Production details'!F68</f>
        <v>0</v>
      </c>
      <c r="G13" s="78">
        <f>'10.Grain Production details'!G68</f>
        <v>0</v>
      </c>
      <c r="H13" s="78">
        <f>'10.Grain Production details'!H68</f>
        <v>0</v>
      </c>
    </row>
    <row r="14" spans="1:9">
      <c r="A14" s="78" t="str">
        <f>'10.Grain Production details'!A69</f>
        <v>Red Gram/Tur</v>
      </c>
      <c r="B14" s="78">
        <f>'10.Grain Production details'!B69</f>
        <v>12000</v>
      </c>
      <c r="C14" s="78">
        <f>'10.Grain Production details'!C69</f>
        <v>14000</v>
      </c>
      <c r="D14" s="78">
        <f>'10.Grain Production details'!D69</f>
        <v>14000</v>
      </c>
      <c r="E14" s="78">
        <f>'10.Grain Production details'!E69</f>
        <v>14000</v>
      </c>
      <c r="F14" s="78">
        <f>'10.Grain Production details'!F69</f>
        <v>14000</v>
      </c>
      <c r="G14" s="78">
        <f>'10.Grain Production details'!G69</f>
        <v>14000</v>
      </c>
      <c r="H14" s="78">
        <f>'10.Grain Production details'!H69</f>
        <v>14000</v>
      </c>
    </row>
    <row r="15" spans="1:9">
      <c r="A15" s="78" t="str">
        <f>'10.Grain Production details'!A70</f>
        <v>Paddy/Rice</v>
      </c>
      <c r="B15" s="78">
        <f>'10.Grain Production details'!B70</f>
        <v>0</v>
      </c>
      <c r="C15" s="78">
        <f>'10.Grain Production details'!C70</f>
        <v>0</v>
      </c>
      <c r="D15" s="78">
        <f>'10.Grain Production details'!D70</f>
        <v>0</v>
      </c>
      <c r="E15" s="78">
        <f>'10.Grain Production details'!E70</f>
        <v>0</v>
      </c>
      <c r="F15" s="78">
        <f>'10.Grain Production details'!F70</f>
        <v>0</v>
      </c>
      <c r="G15" s="78">
        <f>'10.Grain Production details'!G70</f>
        <v>0</v>
      </c>
      <c r="H15" s="78">
        <f>'10.Grain Production details'!H70</f>
        <v>0</v>
      </c>
    </row>
    <row r="16" spans="1:9">
      <c r="A16" s="78" t="str">
        <f>'10.Grain Production details'!A71</f>
        <v>Green Gram/ Moong</v>
      </c>
      <c r="B16" s="78">
        <f>'10.Grain Production details'!B71</f>
        <v>0</v>
      </c>
      <c r="C16" s="78">
        <f>'10.Grain Production details'!C71</f>
        <v>0</v>
      </c>
      <c r="D16" s="78">
        <f>'10.Grain Production details'!D71</f>
        <v>0</v>
      </c>
      <c r="E16" s="78">
        <f>'10.Grain Production details'!E71</f>
        <v>0</v>
      </c>
      <c r="F16" s="78">
        <f>'10.Grain Production details'!F71</f>
        <v>0</v>
      </c>
      <c r="G16" s="78">
        <f>'10.Grain Production details'!G71</f>
        <v>0</v>
      </c>
      <c r="H16" s="78">
        <f>'10.Grain Production details'!H71</f>
        <v>0</v>
      </c>
    </row>
    <row r="17" spans="1:10">
      <c r="A17" s="78" t="str">
        <f>'10.Grain Production details'!A72</f>
        <v>Maize</v>
      </c>
      <c r="B17" s="78">
        <f>'10.Grain Production details'!B72</f>
        <v>0</v>
      </c>
      <c r="C17" s="78">
        <f>'10.Grain Production details'!C72</f>
        <v>0</v>
      </c>
      <c r="D17" s="78">
        <f>'10.Grain Production details'!D72</f>
        <v>0</v>
      </c>
      <c r="E17" s="78">
        <f>'10.Grain Production details'!E72</f>
        <v>0</v>
      </c>
      <c r="F17" s="78">
        <f>'10.Grain Production details'!F72</f>
        <v>0</v>
      </c>
      <c r="G17" s="78">
        <f>'10.Grain Production details'!G72</f>
        <v>0</v>
      </c>
      <c r="H17" s="78">
        <f>'10.Grain Production details'!H72</f>
        <v>0</v>
      </c>
    </row>
    <row r="18" spans="1:10">
      <c r="A18" s="78" t="str">
        <f>'10.Grain Production details'!A73</f>
        <v>Black Gram/Udid</v>
      </c>
      <c r="B18" s="78">
        <f>'10.Grain Production details'!B73</f>
        <v>0</v>
      </c>
      <c r="C18" s="78">
        <f>'10.Grain Production details'!C73</f>
        <v>0</v>
      </c>
      <c r="D18" s="78">
        <f>'10.Grain Production details'!D73</f>
        <v>0</v>
      </c>
      <c r="E18" s="78">
        <f>'10.Grain Production details'!E73</f>
        <v>0</v>
      </c>
      <c r="F18" s="78">
        <f>'10.Grain Production details'!F73</f>
        <v>0</v>
      </c>
      <c r="G18" s="78">
        <f>'10.Grain Production details'!G73</f>
        <v>0</v>
      </c>
      <c r="H18" s="78">
        <f>'10.Grain Production details'!H73</f>
        <v>0</v>
      </c>
    </row>
    <row r="19" spans="1:10">
      <c r="A19" s="78" t="str">
        <f>'10.Grain Production details'!A74</f>
        <v>Bajra</v>
      </c>
      <c r="B19" s="78">
        <f>'10.Grain Production details'!B74</f>
        <v>0</v>
      </c>
      <c r="C19" s="78">
        <f>'10.Grain Production details'!C74</f>
        <v>0</v>
      </c>
      <c r="D19" s="78">
        <f>'10.Grain Production details'!D74</f>
        <v>0</v>
      </c>
      <c r="E19" s="78">
        <f>'10.Grain Production details'!E74</f>
        <v>0</v>
      </c>
      <c r="F19" s="78">
        <f>'10.Grain Production details'!F74</f>
        <v>0</v>
      </c>
      <c r="G19" s="78">
        <f>'10.Grain Production details'!G74</f>
        <v>0</v>
      </c>
      <c r="H19" s="78">
        <f>'10.Grain Production details'!H74</f>
        <v>0</v>
      </c>
    </row>
    <row r="20" spans="1:10">
      <c r="A20" s="78" t="str">
        <f>'10.Grain Production details'!A75</f>
        <v>Jawar</v>
      </c>
      <c r="B20" s="78">
        <f>'10.Grain Production details'!B75</f>
        <v>0</v>
      </c>
      <c r="C20" s="78">
        <f>'10.Grain Production details'!C75</f>
        <v>0</v>
      </c>
      <c r="D20" s="78">
        <f>'10.Grain Production details'!D75</f>
        <v>0</v>
      </c>
      <c r="E20" s="78">
        <f>'10.Grain Production details'!E75</f>
        <v>0</v>
      </c>
      <c r="F20" s="78">
        <f>'10.Grain Production details'!F75</f>
        <v>0</v>
      </c>
      <c r="G20" s="78">
        <f>'10.Grain Production details'!G75</f>
        <v>0</v>
      </c>
      <c r="H20" s="78">
        <f>'10.Grain Production details'!H75</f>
        <v>0</v>
      </c>
    </row>
    <row r="21" spans="1:10" ht="15.75" customHeight="1">
      <c r="A21" s="78" t="str">
        <f>'10.Grain Production details'!A76</f>
        <v>Sunflower</v>
      </c>
      <c r="B21" s="78">
        <f>'10.Grain Production details'!B76</f>
        <v>0</v>
      </c>
      <c r="C21" s="78">
        <f>'10.Grain Production details'!C76</f>
        <v>0</v>
      </c>
      <c r="D21" s="78">
        <f>'10.Grain Production details'!D76</f>
        <v>0</v>
      </c>
      <c r="E21" s="78">
        <f>'10.Grain Production details'!E76</f>
        <v>0</v>
      </c>
      <c r="F21" s="78">
        <f>'10.Grain Production details'!F76</f>
        <v>0</v>
      </c>
      <c r="G21" s="78">
        <f>'10.Grain Production details'!G76</f>
        <v>0</v>
      </c>
      <c r="H21" s="78">
        <f>'10.Grain Production details'!H76</f>
        <v>0</v>
      </c>
    </row>
    <row r="22" spans="1:10" ht="15.75" customHeight="1">
      <c r="A22" s="78" t="str">
        <f>'10.Grain Production details'!A77</f>
        <v>Wheat</v>
      </c>
      <c r="B22" s="78">
        <f>'10.Grain Production details'!B77</f>
        <v>0</v>
      </c>
      <c r="C22" s="78">
        <f>'10.Grain Production details'!C77</f>
        <v>0</v>
      </c>
      <c r="D22" s="78">
        <f>'10.Grain Production details'!D77</f>
        <v>0</v>
      </c>
      <c r="E22" s="78">
        <f>'10.Grain Production details'!E77</f>
        <v>0</v>
      </c>
      <c r="F22" s="78">
        <f>'10.Grain Production details'!F77</f>
        <v>0</v>
      </c>
      <c r="G22" s="78">
        <f>'10.Grain Production details'!G77</f>
        <v>0</v>
      </c>
      <c r="H22" s="78">
        <f>'10.Grain Production details'!H77</f>
        <v>0</v>
      </c>
    </row>
    <row r="23" spans="1:10" ht="15.75" customHeight="1">
      <c r="A23" s="78" t="str">
        <f>'10.Grain Production details'!A78</f>
        <v>Bengal Gram/Channa</v>
      </c>
      <c r="B23" s="78">
        <f>'10.Grain Production details'!B78</f>
        <v>6400</v>
      </c>
      <c r="C23" s="78">
        <f>'10.Grain Production details'!C78</f>
        <v>7500</v>
      </c>
      <c r="D23" s="78">
        <f>'10.Grain Production details'!D78</f>
        <v>7500</v>
      </c>
      <c r="E23" s="78">
        <f>'10.Grain Production details'!E78</f>
        <v>7500</v>
      </c>
      <c r="F23" s="78">
        <f>'10.Grain Production details'!F78</f>
        <v>7500</v>
      </c>
      <c r="G23" s="78">
        <f>'10.Grain Production details'!G78</f>
        <v>7500</v>
      </c>
      <c r="H23" s="78">
        <f>'10.Grain Production details'!H78</f>
        <v>7500</v>
      </c>
    </row>
    <row r="24" spans="1:10" ht="15.75" customHeight="1">
      <c r="A24" s="78" t="str">
        <f>'10.Grain Production details'!A79</f>
        <v>Jawar</v>
      </c>
      <c r="B24" s="78">
        <f>'10.Grain Production details'!B79</f>
        <v>0</v>
      </c>
      <c r="C24" s="78">
        <f>'10.Grain Production details'!C79</f>
        <v>0</v>
      </c>
      <c r="D24" s="78">
        <f>'10.Grain Production details'!D79</f>
        <v>0</v>
      </c>
      <c r="E24" s="78">
        <f>'10.Grain Production details'!E79</f>
        <v>0</v>
      </c>
      <c r="F24" s="78">
        <f>'10.Grain Production details'!F79</f>
        <v>0</v>
      </c>
      <c r="G24" s="78">
        <f>'10.Grain Production details'!G79</f>
        <v>0</v>
      </c>
      <c r="H24" s="78">
        <f>'10.Grain Production details'!H79</f>
        <v>0</v>
      </c>
    </row>
    <row r="25" spans="1:10" ht="15.75" customHeight="1">
      <c r="A25" s="78" t="str">
        <f>'10.Grain Production details'!A80</f>
        <v>Maize</v>
      </c>
      <c r="B25" s="78">
        <f>'10.Grain Production details'!B80</f>
        <v>0</v>
      </c>
      <c r="C25" s="78">
        <f>'10.Grain Production details'!C80</f>
        <v>0</v>
      </c>
      <c r="D25" s="78">
        <f>'10.Grain Production details'!D80</f>
        <v>0</v>
      </c>
      <c r="E25" s="78">
        <f>'10.Grain Production details'!E80</f>
        <v>0</v>
      </c>
      <c r="F25" s="78">
        <f>'10.Grain Production details'!F80</f>
        <v>0</v>
      </c>
      <c r="G25" s="78">
        <f>'10.Grain Production details'!G80</f>
        <v>0</v>
      </c>
      <c r="H25" s="78">
        <f>'10.Grain Production details'!H80</f>
        <v>0</v>
      </c>
      <c r="J25">
        <f>200*5</f>
        <v>1000</v>
      </c>
    </row>
    <row r="26" spans="1:10" ht="15.75" customHeight="1">
      <c r="A26" s="78" t="str">
        <f>'10.Grain Production details'!A81</f>
        <v>Safflower</v>
      </c>
      <c r="B26" s="78">
        <f>'10.Grain Production details'!B81</f>
        <v>0</v>
      </c>
      <c r="C26" s="78">
        <f>'10.Grain Production details'!C81</f>
        <v>0</v>
      </c>
      <c r="D26" s="78">
        <f>'10.Grain Production details'!D81</f>
        <v>0</v>
      </c>
      <c r="E26" s="78">
        <f>'10.Grain Production details'!E81</f>
        <v>0</v>
      </c>
      <c r="F26" s="78">
        <f>'10.Grain Production details'!F81</f>
        <v>0</v>
      </c>
      <c r="G26" s="78">
        <f>'10.Grain Production details'!G81</f>
        <v>0</v>
      </c>
      <c r="H26" s="78">
        <f>'10.Grain Production details'!H81</f>
        <v>0</v>
      </c>
      <c r="J26" s="293">
        <f>1000/4</f>
        <v>250</v>
      </c>
    </row>
    <row r="27" spans="1:10" ht="15.75" customHeight="1">
      <c r="A27" s="78">
        <f>'10.Grain Production details'!A82</f>
        <v>0</v>
      </c>
      <c r="B27" s="78">
        <f>'10.Grain Production details'!B82</f>
        <v>0</v>
      </c>
      <c r="C27" s="78">
        <f>'10.Grain Production details'!C82</f>
        <v>0</v>
      </c>
      <c r="D27" s="78">
        <f>'10.Grain Production details'!D82</f>
        <v>0</v>
      </c>
      <c r="E27" s="78">
        <f>'10.Grain Production details'!E82</f>
        <v>0</v>
      </c>
      <c r="F27" s="78">
        <f>'10.Grain Production details'!F82</f>
        <v>0</v>
      </c>
      <c r="G27" s="78">
        <f>'10.Grain Production details'!G82</f>
        <v>0</v>
      </c>
      <c r="H27" s="78">
        <f>'10.Grain Production details'!H82</f>
        <v>0</v>
      </c>
    </row>
    <row r="28" spans="1:10" ht="15.75" customHeight="1">
      <c r="A28" s="78">
        <f>'10.Grain Production details'!A83</f>
        <v>0</v>
      </c>
      <c r="B28" s="78">
        <f>'10.Grain Production details'!B83</f>
        <v>0</v>
      </c>
      <c r="C28" s="78">
        <f>'10.Grain Production details'!C83</f>
        <v>0</v>
      </c>
      <c r="D28" s="78">
        <f>'10.Grain Production details'!D83</f>
        <v>0</v>
      </c>
      <c r="E28" s="78">
        <f>'10.Grain Production details'!E83</f>
        <v>0</v>
      </c>
      <c r="F28" s="78">
        <f>'10.Grain Production details'!F83</f>
        <v>0</v>
      </c>
      <c r="G28" s="78">
        <f>'10.Grain Production details'!G83</f>
        <v>0</v>
      </c>
      <c r="H28" s="78">
        <f>'10.Grain Production details'!H83</f>
        <v>0</v>
      </c>
    </row>
    <row r="29" spans="1:10" ht="15.75" customHeight="1">
      <c r="A29" s="78">
        <f>'10.Grain Production details'!A84</f>
        <v>0</v>
      </c>
      <c r="B29" s="78">
        <f>'10.Grain Production details'!B84</f>
        <v>0</v>
      </c>
      <c r="C29" s="78">
        <f>'10.Grain Production details'!C84</f>
        <v>0</v>
      </c>
      <c r="D29" s="78">
        <f>'10.Grain Production details'!D84</f>
        <v>0</v>
      </c>
      <c r="E29" s="78">
        <f>'10.Grain Production details'!E84</f>
        <v>0</v>
      </c>
      <c r="F29" s="78">
        <f>'10.Grain Production details'!F84</f>
        <v>0</v>
      </c>
      <c r="G29" s="78">
        <f>'10.Grain Production details'!G84</f>
        <v>0</v>
      </c>
      <c r="H29" s="78">
        <f>'10.Grain Production details'!H84</f>
        <v>0</v>
      </c>
    </row>
    <row r="30" spans="1:10" ht="15.75" customHeight="1">
      <c r="A30" s="78" t="str">
        <f>'10.Grain Production details'!A85</f>
        <v>Groundnut</v>
      </c>
      <c r="B30" s="78">
        <f>'10.Grain Production details'!B85</f>
        <v>0</v>
      </c>
      <c r="C30" s="78">
        <f>'10.Grain Production details'!C85</f>
        <v>0</v>
      </c>
      <c r="D30" s="78">
        <f>'10.Grain Production details'!D85</f>
        <v>0</v>
      </c>
      <c r="E30" s="78">
        <f>'10.Grain Production details'!E85</f>
        <v>0</v>
      </c>
      <c r="F30" s="78">
        <f>'10.Grain Production details'!F85</f>
        <v>0</v>
      </c>
      <c r="G30" s="78">
        <f>'10.Grain Production details'!G85</f>
        <v>0</v>
      </c>
      <c r="H30" s="78">
        <f>'10.Grain Production details'!H85</f>
        <v>0</v>
      </c>
    </row>
    <row r="31" spans="1:10" ht="15.75" customHeight="1">
      <c r="A31" s="78">
        <f>'10.Grain Production details'!A86</f>
        <v>0</v>
      </c>
      <c r="B31" s="78">
        <f>'10.Grain Production details'!B86</f>
        <v>0</v>
      </c>
      <c r="C31" s="78">
        <f>'10.Grain Production details'!C86</f>
        <v>0</v>
      </c>
      <c r="D31" s="78">
        <f>'10.Grain Production details'!D86</f>
        <v>0</v>
      </c>
      <c r="E31" s="78">
        <f>'10.Grain Production details'!E86</f>
        <v>0</v>
      </c>
      <c r="F31" s="78">
        <f>'10.Grain Production details'!F86</f>
        <v>0</v>
      </c>
      <c r="G31" s="78">
        <f>'10.Grain Production details'!G86</f>
        <v>0</v>
      </c>
      <c r="H31" s="78">
        <f>'10.Grain Production details'!H86</f>
        <v>0</v>
      </c>
    </row>
    <row r="32" spans="1:10" ht="15.75" customHeight="1">
      <c r="A32" s="78" t="s">
        <v>609</v>
      </c>
      <c r="B32" s="78">
        <f t="shared" ref="B32:H32" si="1">SUM(B13:B31)</f>
        <v>18400</v>
      </c>
      <c r="C32" s="78">
        <f t="shared" si="1"/>
        <v>21500</v>
      </c>
      <c r="D32" s="78">
        <f>SUM(D13:D31)</f>
        <v>21500</v>
      </c>
      <c r="E32" s="78">
        <f t="shared" si="1"/>
        <v>21500</v>
      </c>
      <c r="F32" s="78">
        <f t="shared" si="1"/>
        <v>21500</v>
      </c>
      <c r="G32" s="78">
        <f t="shared" si="1"/>
        <v>21500</v>
      </c>
      <c r="H32" s="78">
        <f t="shared" si="1"/>
        <v>21500</v>
      </c>
    </row>
    <row r="33" spans="1:8" ht="15.75" customHeight="1">
      <c r="A33" s="277" t="s">
        <v>719</v>
      </c>
      <c r="B33" s="141">
        <v>0</v>
      </c>
      <c r="C33" s="141">
        <f t="shared" ref="C33:H33" si="2">B33</f>
        <v>0</v>
      </c>
      <c r="D33" s="141">
        <f t="shared" si="2"/>
        <v>0</v>
      </c>
      <c r="E33" s="141">
        <f t="shared" si="2"/>
        <v>0</v>
      </c>
      <c r="F33" s="141">
        <f t="shared" si="2"/>
        <v>0</v>
      </c>
      <c r="G33" s="141">
        <f t="shared" si="2"/>
        <v>0</v>
      </c>
      <c r="H33" s="141">
        <f t="shared" si="2"/>
        <v>0</v>
      </c>
    </row>
    <row r="34" spans="1:8" ht="15.75" customHeight="1">
      <c r="A34" s="78" t="s">
        <v>610</v>
      </c>
      <c r="B34" s="133">
        <f t="shared" ref="B34:H34" si="3">1-B33</f>
        <v>1</v>
      </c>
      <c r="C34" s="133">
        <f t="shared" si="3"/>
        <v>1</v>
      </c>
      <c r="D34" s="133">
        <f t="shared" si="3"/>
        <v>1</v>
      </c>
      <c r="E34" s="133">
        <f t="shared" si="3"/>
        <v>1</v>
      </c>
      <c r="F34" s="133">
        <f t="shared" si="3"/>
        <v>1</v>
      </c>
      <c r="G34" s="133">
        <f t="shared" si="3"/>
        <v>1</v>
      </c>
      <c r="H34" s="133">
        <f t="shared" si="3"/>
        <v>1</v>
      </c>
    </row>
    <row r="35" spans="1:8" ht="15.75" customHeight="1">
      <c r="A35" s="81" t="s">
        <v>584</v>
      </c>
      <c r="B35" s="273">
        <f t="shared" ref="B35:H35" si="4">B32*B33</f>
        <v>0</v>
      </c>
      <c r="C35" s="273">
        <f t="shared" si="4"/>
        <v>0</v>
      </c>
      <c r="D35" s="273">
        <f>D32*D33</f>
        <v>0</v>
      </c>
      <c r="E35" s="273">
        <f t="shared" si="4"/>
        <v>0</v>
      </c>
      <c r="F35" s="273">
        <f t="shared" si="4"/>
        <v>0</v>
      </c>
      <c r="G35" s="273">
        <f t="shared" si="4"/>
        <v>0</v>
      </c>
      <c r="H35" s="273">
        <f t="shared" si="4"/>
        <v>0</v>
      </c>
    </row>
    <row r="36" spans="1:8" ht="15.75" customHeight="1">
      <c r="A36" s="81" t="s">
        <v>585</v>
      </c>
      <c r="B36" s="82"/>
      <c r="C36" s="82"/>
      <c r="D36" s="82"/>
      <c r="E36" s="82"/>
      <c r="F36" s="82"/>
      <c r="G36" s="82"/>
      <c r="H36" s="82"/>
    </row>
    <row r="37" spans="1:8" ht="15.75" customHeight="1">
      <c r="A37" s="78" t="str">
        <f t="shared" ref="A37:A55" si="5">A13</f>
        <v>Soybean</v>
      </c>
      <c r="B37" s="80">
        <f t="shared" ref="B37:H38" si="6">B13*$B$34</f>
        <v>0</v>
      </c>
      <c r="C37" s="80">
        <f t="shared" si="6"/>
        <v>0</v>
      </c>
      <c r="D37" s="80">
        <f>D13*$B$34</f>
        <v>0</v>
      </c>
      <c r="E37" s="80">
        <f>E13*$B$34</f>
        <v>0</v>
      </c>
      <c r="F37" s="80">
        <f t="shared" si="6"/>
        <v>0</v>
      </c>
      <c r="G37" s="80">
        <f t="shared" si="6"/>
        <v>0</v>
      </c>
      <c r="H37" s="80">
        <f t="shared" si="6"/>
        <v>0</v>
      </c>
    </row>
    <row r="38" spans="1:8" ht="15.75" customHeight="1">
      <c r="A38" s="78" t="str">
        <f t="shared" si="5"/>
        <v>Red Gram/Tur</v>
      </c>
      <c r="B38" s="80">
        <f t="shared" ref="B38:B55" si="7">B14*$B$34</f>
        <v>12000</v>
      </c>
      <c r="C38" s="80">
        <f t="shared" ref="C38:C55" si="8">C14*$C$34</f>
        <v>14000</v>
      </c>
      <c r="D38" s="80">
        <f>D14*$B$34</f>
        <v>14000</v>
      </c>
      <c r="E38" s="80">
        <f>E14*$B$34</f>
        <v>14000</v>
      </c>
      <c r="F38" s="80">
        <f t="shared" si="6"/>
        <v>14000</v>
      </c>
      <c r="G38" s="80">
        <f t="shared" si="6"/>
        <v>14000</v>
      </c>
      <c r="H38" s="80">
        <f t="shared" si="6"/>
        <v>14000</v>
      </c>
    </row>
    <row r="39" spans="1:8" ht="15.75" customHeight="1">
      <c r="A39" s="78" t="str">
        <f t="shared" si="5"/>
        <v>Paddy/Rice</v>
      </c>
      <c r="B39" s="80">
        <f t="shared" si="7"/>
        <v>0</v>
      </c>
      <c r="C39" s="80">
        <f t="shared" si="8"/>
        <v>0</v>
      </c>
      <c r="D39" s="80">
        <f t="shared" ref="D39:D54" si="9">D15*$D$34</f>
        <v>0</v>
      </c>
      <c r="E39" s="80">
        <f t="shared" ref="E39:E55" si="10">E15*$E$34</f>
        <v>0</v>
      </c>
      <c r="F39" s="80">
        <f t="shared" ref="F39:F55" si="11">F15*$F$34</f>
        <v>0</v>
      </c>
      <c r="G39" s="80">
        <f t="shared" ref="G39:G55" si="12">G15*$G$34</f>
        <v>0</v>
      </c>
      <c r="H39" s="80">
        <f t="shared" ref="H39:H55" si="13">H15*$H$34</f>
        <v>0</v>
      </c>
    </row>
    <row r="40" spans="1:8" ht="15.75" customHeight="1">
      <c r="A40" s="78" t="str">
        <f t="shared" si="5"/>
        <v>Green Gram/ Moong</v>
      </c>
      <c r="B40" s="80">
        <f t="shared" si="7"/>
        <v>0</v>
      </c>
      <c r="C40" s="80">
        <f t="shared" si="8"/>
        <v>0</v>
      </c>
      <c r="D40" s="80">
        <f t="shared" si="9"/>
        <v>0</v>
      </c>
      <c r="E40" s="80">
        <f t="shared" si="10"/>
        <v>0</v>
      </c>
      <c r="F40" s="80">
        <f t="shared" si="11"/>
        <v>0</v>
      </c>
      <c r="G40" s="80">
        <f t="shared" si="12"/>
        <v>0</v>
      </c>
      <c r="H40" s="80">
        <f t="shared" si="13"/>
        <v>0</v>
      </c>
    </row>
    <row r="41" spans="1:8" ht="15.75" customHeight="1">
      <c r="A41" s="78" t="str">
        <f t="shared" si="5"/>
        <v>Maize</v>
      </c>
      <c r="B41" s="80">
        <f t="shared" si="7"/>
        <v>0</v>
      </c>
      <c r="C41" s="80">
        <f t="shared" si="8"/>
        <v>0</v>
      </c>
      <c r="D41" s="80">
        <f t="shared" si="9"/>
        <v>0</v>
      </c>
      <c r="E41" s="80">
        <f t="shared" si="10"/>
        <v>0</v>
      </c>
      <c r="F41" s="80">
        <f t="shared" si="11"/>
        <v>0</v>
      </c>
      <c r="G41" s="80">
        <f t="shared" si="12"/>
        <v>0</v>
      </c>
      <c r="H41" s="80">
        <f t="shared" si="13"/>
        <v>0</v>
      </c>
    </row>
    <row r="42" spans="1:8" ht="15.75" customHeight="1">
      <c r="A42" s="78" t="str">
        <f t="shared" si="5"/>
        <v>Black Gram/Udid</v>
      </c>
      <c r="B42" s="80">
        <f t="shared" si="7"/>
        <v>0</v>
      </c>
      <c r="C42" s="80">
        <f t="shared" si="8"/>
        <v>0</v>
      </c>
      <c r="D42" s="80">
        <f t="shared" si="9"/>
        <v>0</v>
      </c>
      <c r="E42" s="80">
        <f t="shared" si="10"/>
        <v>0</v>
      </c>
      <c r="F42" s="80">
        <f t="shared" si="11"/>
        <v>0</v>
      </c>
      <c r="G42" s="80">
        <f t="shared" si="12"/>
        <v>0</v>
      </c>
      <c r="H42" s="80">
        <f t="shared" si="13"/>
        <v>0</v>
      </c>
    </row>
    <row r="43" spans="1:8" ht="15.75" customHeight="1">
      <c r="A43" s="78" t="str">
        <f t="shared" si="5"/>
        <v>Bajra</v>
      </c>
      <c r="B43" s="80">
        <f t="shared" si="7"/>
        <v>0</v>
      </c>
      <c r="C43" s="80">
        <f t="shared" si="8"/>
        <v>0</v>
      </c>
      <c r="D43" s="80">
        <f t="shared" si="9"/>
        <v>0</v>
      </c>
      <c r="E43" s="80">
        <f t="shared" si="10"/>
        <v>0</v>
      </c>
      <c r="F43" s="80">
        <f t="shared" si="11"/>
        <v>0</v>
      </c>
      <c r="G43" s="80">
        <f t="shared" si="12"/>
        <v>0</v>
      </c>
      <c r="H43" s="80">
        <f t="shared" si="13"/>
        <v>0</v>
      </c>
    </row>
    <row r="44" spans="1:8" ht="15.75" customHeight="1">
      <c r="A44" s="78" t="str">
        <f t="shared" si="5"/>
        <v>Jawar</v>
      </c>
      <c r="B44" s="80">
        <f t="shared" si="7"/>
        <v>0</v>
      </c>
      <c r="C44" s="80">
        <f t="shared" si="8"/>
        <v>0</v>
      </c>
      <c r="D44" s="80">
        <f t="shared" si="9"/>
        <v>0</v>
      </c>
      <c r="E44" s="80">
        <f t="shared" si="10"/>
        <v>0</v>
      </c>
      <c r="F44" s="80">
        <f t="shared" si="11"/>
        <v>0</v>
      </c>
      <c r="G44" s="80">
        <f t="shared" si="12"/>
        <v>0</v>
      </c>
      <c r="H44" s="80">
        <f t="shared" si="13"/>
        <v>0</v>
      </c>
    </row>
    <row r="45" spans="1:8" ht="15.75" customHeight="1">
      <c r="A45" s="78" t="str">
        <f t="shared" si="5"/>
        <v>Sunflower</v>
      </c>
      <c r="B45" s="80">
        <f t="shared" si="7"/>
        <v>0</v>
      </c>
      <c r="C45" s="80">
        <f t="shared" si="8"/>
        <v>0</v>
      </c>
      <c r="D45" s="80">
        <f t="shared" si="9"/>
        <v>0</v>
      </c>
      <c r="E45" s="80">
        <f t="shared" si="10"/>
        <v>0</v>
      </c>
      <c r="F45" s="80">
        <f t="shared" si="11"/>
        <v>0</v>
      </c>
      <c r="G45" s="80">
        <f t="shared" si="12"/>
        <v>0</v>
      </c>
      <c r="H45" s="80">
        <f t="shared" si="13"/>
        <v>0</v>
      </c>
    </row>
    <row r="46" spans="1:8" ht="15.75" customHeight="1">
      <c r="A46" s="78" t="str">
        <f t="shared" si="5"/>
        <v>Wheat</v>
      </c>
      <c r="B46" s="80">
        <f t="shared" si="7"/>
        <v>0</v>
      </c>
      <c r="C46" s="80">
        <f t="shared" si="8"/>
        <v>0</v>
      </c>
      <c r="D46" s="80">
        <f>D22*$D$34</f>
        <v>0</v>
      </c>
      <c r="E46" s="80">
        <f t="shared" si="10"/>
        <v>0</v>
      </c>
      <c r="F46" s="80">
        <f t="shared" si="11"/>
        <v>0</v>
      </c>
      <c r="G46" s="80">
        <f t="shared" si="12"/>
        <v>0</v>
      </c>
      <c r="H46" s="80">
        <f t="shared" si="13"/>
        <v>0</v>
      </c>
    </row>
    <row r="47" spans="1:8" ht="15.75" customHeight="1">
      <c r="A47" s="78" t="str">
        <f t="shared" si="5"/>
        <v>Bengal Gram/Channa</v>
      </c>
      <c r="B47" s="80">
        <f t="shared" si="7"/>
        <v>6400</v>
      </c>
      <c r="C47" s="80">
        <f t="shared" si="8"/>
        <v>7500</v>
      </c>
      <c r="D47" s="80">
        <f>D23*$D$34</f>
        <v>7500</v>
      </c>
      <c r="E47" s="80">
        <f t="shared" si="10"/>
        <v>7500</v>
      </c>
      <c r="F47" s="80">
        <f t="shared" si="11"/>
        <v>7500</v>
      </c>
      <c r="G47" s="80">
        <f t="shared" si="12"/>
        <v>7500</v>
      </c>
      <c r="H47" s="80">
        <f t="shared" si="13"/>
        <v>7500</v>
      </c>
    </row>
    <row r="48" spans="1:8" ht="15.75" customHeight="1">
      <c r="A48" s="78" t="str">
        <f t="shared" si="5"/>
        <v>Jawar</v>
      </c>
      <c r="B48" s="80">
        <f t="shared" si="7"/>
        <v>0</v>
      </c>
      <c r="C48" s="80">
        <f t="shared" si="8"/>
        <v>0</v>
      </c>
      <c r="D48" s="80">
        <f t="shared" si="9"/>
        <v>0</v>
      </c>
      <c r="E48" s="80">
        <f t="shared" si="10"/>
        <v>0</v>
      </c>
      <c r="F48" s="80">
        <f t="shared" si="11"/>
        <v>0</v>
      </c>
      <c r="G48" s="80">
        <f t="shared" si="12"/>
        <v>0</v>
      </c>
      <c r="H48" s="80">
        <f t="shared" si="13"/>
        <v>0</v>
      </c>
    </row>
    <row r="49" spans="1:8" ht="15.75" customHeight="1">
      <c r="A49" s="78" t="str">
        <f t="shared" si="5"/>
        <v>Maize</v>
      </c>
      <c r="B49" s="80">
        <f t="shared" si="7"/>
        <v>0</v>
      </c>
      <c r="C49" s="80">
        <f t="shared" si="8"/>
        <v>0</v>
      </c>
      <c r="D49" s="80">
        <f t="shared" si="9"/>
        <v>0</v>
      </c>
      <c r="E49" s="80">
        <f t="shared" si="10"/>
        <v>0</v>
      </c>
      <c r="F49" s="80">
        <f t="shared" si="11"/>
        <v>0</v>
      </c>
      <c r="G49" s="80">
        <f t="shared" si="12"/>
        <v>0</v>
      </c>
      <c r="H49" s="80">
        <f t="shared" si="13"/>
        <v>0</v>
      </c>
    </row>
    <row r="50" spans="1:8" ht="15.75" customHeight="1">
      <c r="A50" s="78" t="str">
        <f t="shared" si="5"/>
        <v>Safflower</v>
      </c>
      <c r="B50" s="80">
        <f t="shared" si="7"/>
        <v>0</v>
      </c>
      <c r="C50" s="80">
        <f t="shared" si="8"/>
        <v>0</v>
      </c>
      <c r="D50" s="80">
        <f t="shared" si="9"/>
        <v>0</v>
      </c>
      <c r="E50" s="80">
        <f t="shared" si="10"/>
        <v>0</v>
      </c>
      <c r="F50" s="80">
        <f t="shared" si="11"/>
        <v>0</v>
      </c>
      <c r="G50" s="80">
        <f t="shared" si="12"/>
        <v>0</v>
      </c>
      <c r="H50" s="80">
        <f t="shared" si="13"/>
        <v>0</v>
      </c>
    </row>
    <row r="51" spans="1:8" ht="15.75" customHeight="1">
      <c r="A51" s="78">
        <f t="shared" si="5"/>
        <v>0</v>
      </c>
      <c r="B51" s="80">
        <f t="shared" si="7"/>
        <v>0</v>
      </c>
      <c r="C51" s="80">
        <f t="shared" si="8"/>
        <v>0</v>
      </c>
      <c r="D51" s="80">
        <f t="shared" si="9"/>
        <v>0</v>
      </c>
      <c r="E51" s="80">
        <f t="shared" si="10"/>
        <v>0</v>
      </c>
      <c r="F51" s="80">
        <f t="shared" si="11"/>
        <v>0</v>
      </c>
      <c r="G51" s="80">
        <f t="shared" si="12"/>
        <v>0</v>
      </c>
      <c r="H51" s="80">
        <f t="shared" si="13"/>
        <v>0</v>
      </c>
    </row>
    <row r="52" spans="1:8" ht="15.75" customHeight="1">
      <c r="A52" s="78">
        <f t="shared" si="5"/>
        <v>0</v>
      </c>
      <c r="B52" s="80">
        <f t="shared" si="7"/>
        <v>0</v>
      </c>
      <c r="C52" s="80">
        <f t="shared" si="8"/>
        <v>0</v>
      </c>
      <c r="D52" s="80">
        <f t="shared" si="9"/>
        <v>0</v>
      </c>
      <c r="E52" s="80">
        <f t="shared" si="10"/>
        <v>0</v>
      </c>
      <c r="F52" s="80">
        <f t="shared" si="11"/>
        <v>0</v>
      </c>
      <c r="G52" s="80">
        <f t="shared" si="12"/>
        <v>0</v>
      </c>
      <c r="H52" s="80">
        <f t="shared" si="13"/>
        <v>0</v>
      </c>
    </row>
    <row r="53" spans="1:8" ht="15.75" customHeight="1">
      <c r="A53" s="78">
        <f t="shared" si="5"/>
        <v>0</v>
      </c>
      <c r="B53" s="80">
        <f t="shared" si="7"/>
        <v>0</v>
      </c>
      <c r="C53" s="80">
        <f t="shared" si="8"/>
        <v>0</v>
      </c>
      <c r="D53" s="80">
        <f t="shared" si="9"/>
        <v>0</v>
      </c>
      <c r="E53" s="80">
        <f t="shared" si="10"/>
        <v>0</v>
      </c>
      <c r="F53" s="80">
        <f t="shared" si="11"/>
        <v>0</v>
      </c>
      <c r="G53" s="80">
        <f t="shared" si="12"/>
        <v>0</v>
      </c>
      <c r="H53" s="80">
        <f t="shared" si="13"/>
        <v>0</v>
      </c>
    </row>
    <row r="54" spans="1:8" ht="15.75" customHeight="1">
      <c r="A54" s="78" t="str">
        <f t="shared" si="5"/>
        <v>Groundnut</v>
      </c>
      <c r="B54" s="80">
        <f t="shared" si="7"/>
        <v>0</v>
      </c>
      <c r="C54" s="80">
        <f t="shared" si="8"/>
        <v>0</v>
      </c>
      <c r="D54" s="80">
        <f t="shared" si="9"/>
        <v>0</v>
      </c>
      <c r="E54" s="80">
        <f t="shared" si="10"/>
        <v>0</v>
      </c>
      <c r="F54" s="80">
        <f t="shared" si="11"/>
        <v>0</v>
      </c>
      <c r="G54" s="80">
        <f t="shared" si="12"/>
        <v>0</v>
      </c>
      <c r="H54" s="80">
        <f t="shared" si="13"/>
        <v>0</v>
      </c>
    </row>
    <row r="55" spans="1:8" ht="15.75" customHeight="1">
      <c r="A55" s="78">
        <f t="shared" si="5"/>
        <v>0</v>
      </c>
      <c r="B55" s="80">
        <f t="shared" si="7"/>
        <v>0</v>
      </c>
      <c r="C55" s="80">
        <f t="shared" si="8"/>
        <v>0</v>
      </c>
      <c r="D55" s="80">
        <f>D31*$D$34</f>
        <v>0</v>
      </c>
      <c r="E55" s="80">
        <f t="shared" si="10"/>
        <v>0</v>
      </c>
      <c r="F55" s="80">
        <f t="shared" si="11"/>
        <v>0</v>
      </c>
      <c r="G55" s="80">
        <f t="shared" si="12"/>
        <v>0</v>
      </c>
      <c r="H55" s="80">
        <f t="shared" si="13"/>
        <v>0</v>
      </c>
    </row>
    <row r="56" spans="1:8" ht="15.75" customHeight="1">
      <c r="A56" s="78"/>
      <c r="B56" s="78"/>
      <c r="C56" s="78"/>
      <c r="D56" s="78"/>
      <c r="E56" s="78"/>
      <c r="F56" s="78"/>
      <c r="G56" s="78"/>
      <c r="H56" s="78"/>
    </row>
    <row r="57" spans="1:8" ht="15.75" customHeight="1">
      <c r="A57" s="81" t="s">
        <v>611</v>
      </c>
      <c r="B57" s="78"/>
      <c r="C57" s="78"/>
      <c r="D57" s="78"/>
      <c r="E57" s="78"/>
      <c r="F57" s="78"/>
      <c r="G57" s="78"/>
      <c r="H57" s="78"/>
    </row>
    <row r="58" spans="1:8" ht="15.75" customHeight="1">
      <c r="A58" s="78" t="str">
        <f>A37</f>
        <v>Soybean</v>
      </c>
      <c r="B58" s="78"/>
      <c r="C58" s="78"/>
      <c r="D58" s="78"/>
      <c r="E58" s="78"/>
      <c r="F58" s="78"/>
      <c r="G58" s="78"/>
      <c r="H58" s="78"/>
    </row>
    <row r="59" spans="1:8" ht="15.75" customHeight="1">
      <c r="A59" s="78"/>
      <c r="B59" s="78"/>
      <c r="C59" s="78"/>
      <c r="D59" s="78"/>
      <c r="E59" s="78"/>
      <c r="F59" s="78"/>
      <c r="G59" s="78"/>
      <c r="H59" s="78"/>
    </row>
    <row r="60" spans="1:8" ht="15.75" customHeight="1">
      <c r="A60" s="78"/>
      <c r="B60" s="78"/>
      <c r="C60" s="78"/>
      <c r="D60" s="78"/>
      <c r="E60" s="78"/>
      <c r="F60" s="78"/>
      <c r="G60" s="78"/>
      <c r="H60" s="78"/>
    </row>
    <row r="61" spans="1:8" ht="15.75" customHeight="1">
      <c r="A61" s="78"/>
      <c r="B61" s="78"/>
      <c r="C61" s="78"/>
      <c r="D61" s="78"/>
      <c r="E61" s="78"/>
      <c r="F61" s="78"/>
      <c r="G61" s="78"/>
      <c r="H61" s="78"/>
    </row>
    <row r="62" spans="1:8" ht="15.75" customHeight="1">
      <c r="A62" s="78" t="str">
        <f>A38</f>
        <v>Red Gram/Tur</v>
      </c>
      <c r="B62" s="238"/>
      <c r="C62" s="238"/>
      <c r="D62" s="238"/>
      <c r="E62" s="238"/>
      <c r="F62" s="238"/>
      <c r="G62" s="238"/>
      <c r="H62" s="238"/>
    </row>
    <row r="63" spans="1:8" ht="15.75" customHeight="1">
      <c r="A63" s="78" t="s">
        <v>710</v>
      </c>
      <c r="B63" s="238">
        <f>B38*70%</f>
        <v>8400</v>
      </c>
      <c r="C63" s="238">
        <f>C38*70%</f>
        <v>9800</v>
      </c>
      <c r="D63" s="238">
        <f>D38*70%</f>
        <v>9800</v>
      </c>
      <c r="E63" s="238">
        <f t="shared" ref="E63:H63" si="14">E38*70%</f>
        <v>9800</v>
      </c>
      <c r="F63" s="238">
        <f t="shared" si="14"/>
        <v>9800</v>
      </c>
      <c r="G63" s="238">
        <f t="shared" si="14"/>
        <v>9800</v>
      </c>
      <c r="H63" s="238">
        <f t="shared" si="14"/>
        <v>9800</v>
      </c>
    </row>
    <row r="64" spans="1:8" ht="15.75" customHeight="1">
      <c r="A64" s="78" t="s">
        <v>613</v>
      </c>
      <c r="B64" s="238">
        <f t="shared" ref="B64:C64" si="15">B38*20%</f>
        <v>2400</v>
      </c>
      <c r="C64" s="238">
        <f t="shared" si="15"/>
        <v>2800</v>
      </c>
      <c r="D64" s="238">
        <f>D38*30%</f>
        <v>4200</v>
      </c>
      <c r="E64" s="238">
        <f t="shared" ref="E64:H64" si="16">E38*30%</f>
        <v>4200</v>
      </c>
      <c r="F64" s="238">
        <f t="shared" si="16"/>
        <v>4200</v>
      </c>
      <c r="G64" s="238">
        <f t="shared" si="16"/>
        <v>4200</v>
      </c>
      <c r="H64" s="238">
        <f t="shared" si="16"/>
        <v>4200</v>
      </c>
    </row>
    <row r="65" spans="1:8" ht="15.75" customHeight="1">
      <c r="A65" s="78" t="str">
        <f>A39</f>
        <v>Paddy/Rice</v>
      </c>
      <c r="B65" s="80"/>
      <c r="C65" s="80"/>
      <c r="D65" s="80"/>
      <c r="E65" s="80"/>
      <c r="F65" s="80"/>
      <c r="G65" s="80"/>
      <c r="H65" s="80"/>
    </row>
    <row r="66" spans="1:8" ht="15.75" customHeight="1">
      <c r="A66" s="78"/>
      <c r="B66" s="80"/>
      <c r="C66" s="80"/>
      <c r="D66" s="80"/>
      <c r="E66" s="80"/>
      <c r="F66" s="80"/>
      <c r="G66" s="80"/>
      <c r="H66" s="80"/>
    </row>
    <row r="67" spans="1:8" ht="15.75" customHeight="1">
      <c r="A67" s="78"/>
      <c r="B67" s="80"/>
      <c r="C67" s="80"/>
      <c r="D67" s="80"/>
      <c r="E67" s="80"/>
      <c r="F67" s="80"/>
      <c r="G67" s="80"/>
      <c r="H67" s="80"/>
    </row>
    <row r="68" spans="1:8" ht="15.75" customHeight="1">
      <c r="A68" s="78"/>
      <c r="B68" s="80"/>
      <c r="C68" s="80"/>
      <c r="D68" s="80"/>
      <c r="E68" s="80"/>
      <c r="F68" s="80"/>
      <c r="G68" s="80"/>
      <c r="H68" s="80"/>
    </row>
    <row r="69" spans="1:8" ht="15.75" customHeight="1">
      <c r="A69" s="78" t="str">
        <f>A40</f>
        <v>Green Gram/ Moong</v>
      </c>
      <c r="B69" s="80"/>
      <c r="C69" s="80"/>
      <c r="D69" s="80"/>
      <c r="E69" s="80"/>
      <c r="F69" s="80"/>
      <c r="G69" s="80"/>
      <c r="H69" s="80"/>
    </row>
    <row r="70" spans="1:8" ht="15.75" customHeight="1">
      <c r="A70" s="78" t="s">
        <v>612</v>
      </c>
      <c r="B70" s="80">
        <f t="shared" ref="B70:H70" si="17">B40*80%</f>
        <v>0</v>
      </c>
      <c r="C70" s="80">
        <f t="shared" si="17"/>
        <v>0</v>
      </c>
      <c r="D70" s="80">
        <f t="shared" si="17"/>
        <v>0</v>
      </c>
      <c r="E70" s="80">
        <f t="shared" si="17"/>
        <v>0</v>
      </c>
      <c r="F70" s="80">
        <f t="shared" si="17"/>
        <v>0</v>
      </c>
      <c r="G70" s="80">
        <f t="shared" si="17"/>
        <v>0</v>
      </c>
      <c r="H70" s="80">
        <f t="shared" si="17"/>
        <v>0</v>
      </c>
    </row>
    <row r="71" spans="1:8" ht="15.75" customHeight="1">
      <c r="A71" s="78" t="s">
        <v>613</v>
      </c>
      <c r="B71" s="80">
        <f t="shared" ref="B71:H71" si="18">B40*20%</f>
        <v>0</v>
      </c>
      <c r="C71" s="80">
        <f t="shared" si="18"/>
        <v>0</v>
      </c>
      <c r="D71" s="80">
        <f t="shared" si="18"/>
        <v>0</v>
      </c>
      <c r="E71" s="80">
        <f t="shared" si="18"/>
        <v>0</v>
      </c>
      <c r="F71" s="80">
        <f t="shared" si="18"/>
        <v>0</v>
      </c>
      <c r="G71" s="80">
        <f t="shared" si="18"/>
        <v>0</v>
      </c>
      <c r="H71" s="80">
        <f t="shared" si="18"/>
        <v>0</v>
      </c>
    </row>
    <row r="72" spans="1:8" ht="15.75" customHeight="1">
      <c r="A72" s="78" t="str">
        <f>A41</f>
        <v>Maize</v>
      </c>
      <c r="B72" s="80"/>
      <c r="C72" s="80"/>
      <c r="D72" s="80"/>
      <c r="E72" s="80"/>
      <c r="F72" s="80"/>
      <c r="G72" s="80"/>
      <c r="H72" s="80"/>
    </row>
    <row r="73" spans="1:8" ht="15.75" customHeight="1">
      <c r="A73" s="78"/>
      <c r="B73" s="80"/>
      <c r="C73" s="80"/>
      <c r="D73" s="80"/>
      <c r="E73" s="80"/>
      <c r="F73" s="80"/>
      <c r="G73" s="80"/>
      <c r="H73" s="80"/>
    </row>
    <row r="74" spans="1:8" ht="15.75" customHeight="1">
      <c r="A74" s="78"/>
      <c r="B74" s="80"/>
      <c r="C74" s="80"/>
      <c r="D74" s="80"/>
      <c r="E74" s="80"/>
      <c r="F74" s="80"/>
      <c r="G74" s="80"/>
      <c r="H74" s="80"/>
    </row>
    <row r="75" spans="1:8" ht="15.75" customHeight="1">
      <c r="A75" s="78"/>
      <c r="B75" s="80"/>
      <c r="C75" s="80"/>
      <c r="D75" s="80"/>
      <c r="E75" s="80"/>
      <c r="F75" s="80"/>
      <c r="G75" s="80"/>
      <c r="H75" s="80"/>
    </row>
    <row r="76" spans="1:8" ht="15.75" customHeight="1">
      <c r="A76" s="78"/>
      <c r="B76" s="80"/>
      <c r="C76" s="80"/>
      <c r="D76" s="80"/>
      <c r="E76" s="80"/>
      <c r="F76" s="80"/>
      <c r="G76" s="80"/>
      <c r="H76" s="80"/>
    </row>
    <row r="77" spans="1:8" ht="15.75" customHeight="1">
      <c r="A77" s="78" t="str">
        <f>A42</f>
        <v>Black Gram/Udid</v>
      </c>
      <c r="B77" s="80"/>
      <c r="C77" s="80"/>
      <c r="D77" s="80"/>
      <c r="E77" s="80"/>
      <c r="F77" s="80"/>
      <c r="G77" s="80"/>
      <c r="H77" s="80"/>
    </row>
    <row r="78" spans="1:8" ht="15.75" customHeight="1">
      <c r="A78" s="78" t="s">
        <v>612</v>
      </c>
      <c r="B78" s="80">
        <f t="shared" ref="B78:H78" si="19">B42*80%</f>
        <v>0</v>
      </c>
      <c r="C78" s="80">
        <f t="shared" si="19"/>
        <v>0</v>
      </c>
      <c r="D78" s="80">
        <f t="shared" si="19"/>
        <v>0</v>
      </c>
      <c r="E78" s="80">
        <f t="shared" si="19"/>
        <v>0</v>
      </c>
      <c r="F78" s="80">
        <f t="shared" si="19"/>
        <v>0</v>
      </c>
      <c r="G78" s="80">
        <f t="shared" si="19"/>
        <v>0</v>
      </c>
      <c r="H78" s="80">
        <f t="shared" si="19"/>
        <v>0</v>
      </c>
    </row>
    <row r="79" spans="1:8" ht="15.75" customHeight="1">
      <c r="A79" s="78" t="s">
        <v>613</v>
      </c>
      <c r="B79" s="80">
        <f t="shared" ref="B79:H79" si="20">B42*20%</f>
        <v>0</v>
      </c>
      <c r="C79" s="80">
        <f t="shared" si="20"/>
        <v>0</v>
      </c>
      <c r="D79" s="80">
        <f t="shared" si="20"/>
        <v>0</v>
      </c>
      <c r="E79" s="80">
        <f t="shared" si="20"/>
        <v>0</v>
      </c>
      <c r="F79" s="80">
        <f t="shared" si="20"/>
        <v>0</v>
      </c>
      <c r="G79" s="80">
        <f t="shared" si="20"/>
        <v>0</v>
      </c>
      <c r="H79" s="80">
        <f t="shared" si="20"/>
        <v>0</v>
      </c>
    </row>
    <row r="80" spans="1:8" ht="15.75" customHeight="1">
      <c r="A80" s="78" t="str">
        <f>A43</f>
        <v>Bajra</v>
      </c>
      <c r="B80" s="80"/>
      <c r="C80" s="80"/>
      <c r="D80" s="80"/>
      <c r="E80" s="80"/>
      <c r="F80" s="80"/>
      <c r="G80" s="80"/>
      <c r="H80" s="80"/>
    </row>
    <row r="81" spans="1:8" ht="15.75" customHeight="1">
      <c r="A81" s="78"/>
      <c r="B81" s="80"/>
      <c r="C81" s="80"/>
      <c r="D81" s="80"/>
      <c r="E81" s="80"/>
      <c r="F81" s="80"/>
      <c r="G81" s="80"/>
      <c r="H81" s="80"/>
    </row>
    <row r="82" spans="1:8" ht="15.75" customHeight="1">
      <c r="A82" s="78"/>
      <c r="B82" s="80"/>
      <c r="C82" s="80"/>
      <c r="D82" s="80"/>
      <c r="E82" s="80"/>
      <c r="F82" s="80"/>
      <c r="G82" s="80"/>
      <c r="H82" s="80"/>
    </row>
    <row r="83" spans="1:8" ht="15.75" customHeight="1">
      <c r="A83" s="78" t="str">
        <f>A44</f>
        <v>Jawar</v>
      </c>
      <c r="B83" s="80"/>
      <c r="C83" s="80"/>
      <c r="D83" s="80"/>
      <c r="E83" s="80"/>
      <c r="F83" s="80"/>
      <c r="G83" s="80"/>
      <c r="H83" s="80"/>
    </row>
    <row r="84" spans="1:8" ht="15.75" customHeight="1">
      <c r="A84" s="78"/>
      <c r="B84" s="80"/>
      <c r="C84" s="80"/>
      <c r="D84" s="80"/>
      <c r="E84" s="80"/>
      <c r="F84" s="80"/>
      <c r="G84" s="80"/>
      <c r="H84" s="80"/>
    </row>
    <row r="85" spans="1:8" ht="15.75" customHeight="1">
      <c r="A85" s="78"/>
      <c r="B85" s="80"/>
      <c r="C85" s="80"/>
      <c r="D85" s="80"/>
      <c r="E85" s="80"/>
      <c r="F85" s="80"/>
      <c r="G85" s="80"/>
      <c r="H85" s="80"/>
    </row>
    <row r="86" spans="1:8" ht="15.75" customHeight="1">
      <c r="A86" s="78"/>
      <c r="B86" s="80"/>
      <c r="C86" s="80"/>
      <c r="D86" s="80"/>
      <c r="E86" s="80"/>
      <c r="F86" s="80"/>
      <c r="G86" s="80"/>
      <c r="H86" s="80"/>
    </row>
    <row r="87" spans="1:8" ht="15.75" customHeight="1">
      <c r="A87" s="78" t="str">
        <f>A45</f>
        <v>Sunflower</v>
      </c>
      <c r="B87" s="80"/>
      <c r="C87" s="80"/>
      <c r="D87" s="80"/>
      <c r="E87" s="80"/>
      <c r="F87" s="80"/>
      <c r="G87" s="80"/>
      <c r="H87" s="80"/>
    </row>
    <row r="88" spans="1:8" ht="15.75" customHeight="1">
      <c r="A88" s="78"/>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t="str">
        <f>A46</f>
        <v>Wheat</v>
      </c>
      <c r="B91" s="80"/>
      <c r="C91" s="80"/>
      <c r="D91" s="80"/>
      <c r="E91" s="80"/>
      <c r="F91" s="80"/>
      <c r="G91" s="80"/>
      <c r="H91" s="80"/>
    </row>
    <row r="92" spans="1:8" ht="15.75" customHeight="1">
      <c r="A92" s="78"/>
      <c r="B92" s="80"/>
      <c r="C92" s="80"/>
      <c r="D92" s="80"/>
      <c r="E92" s="80"/>
      <c r="F92" s="80"/>
      <c r="G92" s="80"/>
      <c r="H92" s="80"/>
    </row>
    <row r="93" spans="1:8" ht="15.75" customHeight="1">
      <c r="A93" s="78"/>
      <c r="B93" s="80"/>
      <c r="C93" s="80"/>
      <c r="D93" s="80"/>
      <c r="E93" s="80"/>
      <c r="F93" s="80"/>
      <c r="G93" s="80"/>
      <c r="H93" s="80"/>
    </row>
    <row r="94" spans="1:8" ht="15.75" customHeight="1">
      <c r="A94" s="78" t="str">
        <f>A47</f>
        <v>Bengal Gram/Channa</v>
      </c>
      <c r="B94" s="80"/>
      <c r="C94" s="80"/>
      <c r="D94" s="80"/>
      <c r="E94" s="80"/>
      <c r="F94" s="80"/>
      <c r="G94" s="80"/>
      <c r="H94" s="80"/>
    </row>
    <row r="95" spans="1:8" ht="15.75" customHeight="1">
      <c r="A95" s="78" t="s">
        <v>716</v>
      </c>
      <c r="B95" s="80">
        <f t="shared" ref="B95:H95" si="21">B47*70%</f>
        <v>4480</v>
      </c>
      <c r="C95" s="80">
        <f t="shared" si="21"/>
        <v>5250</v>
      </c>
      <c r="D95" s="80">
        <f t="shared" si="21"/>
        <v>5250</v>
      </c>
      <c r="E95" s="80">
        <f t="shared" si="21"/>
        <v>5250</v>
      </c>
      <c r="F95" s="80">
        <f t="shared" si="21"/>
        <v>5250</v>
      </c>
      <c r="G95" s="80">
        <f t="shared" si="21"/>
        <v>5250</v>
      </c>
      <c r="H95" s="80">
        <f t="shared" si="21"/>
        <v>5250</v>
      </c>
    </row>
    <row r="96" spans="1:8" ht="15.75" customHeight="1">
      <c r="A96" s="78" t="s">
        <v>613</v>
      </c>
      <c r="B96" s="80">
        <f>B47*30%</f>
        <v>1920</v>
      </c>
      <c r="C96" s="80">
        <f>C47*30%</f>
        <v>2250</v>
      </c>
      <c r="D96" s="80">
        <f>D47*30%</f>
        <v>2250</v>
      </c>
      <c r="E96" s="80">
        <f t="shared" ref="E96:H96" si="22">E47*30%</f>
        <v>2250</v>
      </c>
      <c r="F96" s="80">
        <f t="shared" si="22"/>
        <v>2250</v>
      </c>
      <c r="G96" s="80">
        <f t="shared" si="22"/>
        <v>2250</v>
      </c>
      <c r="H96" s="80">
        <f t="shared" si="22"/>
        <v>2250</v>
      </c>
    </row>
    <row r="97" spans="1:8" ht="15.75" customHeight="1">
      <c r="A97" s="78" t="str">
        <f>A48</f>
        <v>Jawar</v>
      </c>
      <c r="B97" s="80"/>
      <c r="C97" s="80"/>
      <c r="D97" s="80"/>
      <c r="E97" s="80"/>
      <c r="F97" s="80"/>
      <c r="G97" s="80"/>
      <c r="H97" s="80"/>
    </row>
    <row r="98" spans="1:8" ht="15.75" customHeight="1">
      <c r="A98" s="78"/>
      <c r="B98" s="80"/>
      <c r="C98" s="80"/>
      <c r="D98" s="80"/>
      <c r="E98" s="80"/>
      <c r="F98" s="80"/>
      <c r="G98" s="80"/>
      <c r="H98" s="80"/>
    </row>
    <row r="99" spans="1:8" ht="15.75" customHeight="1">
      <c r="A99" s="78"/>
      <c r="B99" s="80"/>
      <c r="C99" s="80"/>
      <c r="D99" s="80"/>
      <c r="E99" s="80"/>
      <c r="F99" s="80"/>
      <c r="G99" s="80"/>
      <c r="H99" s="80"/>
    </row>
    <row r="100" spans="1:8" ht="15.75" customHeight="1">
      <c r="A100" s="78" t="str">
        <f>A49</f>
        <v>Maize</v>
      </c>
      <c r="B100" s="80"/>
      <c r="C100" s="80"/>
      <c r="D100" s="80"/>
      <c r="E100" s="80"/>
      <c r="F100" s="80"/>
      <c r="G100" s="80"/>
      <c r="H100" s="80"/>
    </row>
    <row r="101" spans="1:8" ht="15.75" customHeight="1">
      <c r="A101" s="78"/>
      <c r="B101" s="80"/>
      <c r="C101" s="80"/>
      <c r="D101" s="80"/>
      <c r="E101" s="80"/>
      <c r="F101" s="80"/>
      <c r="G101" s="80"/>
      <c r="H101" s="80"/>
    </row>
    <row r="102" spans="1:8" ht="15.75" customHeight="1">
      <c r="A102" s="78"/>
      <c r="B102" s="80"/>
      <c r="C102" s="80"/>
      <c r="D102" s="80"/>
      <c r="E102" s="80"/>
      <c r="F102" s="80"/>
      <c r="G102" s="80"/>
      <c r="H102" s="80"/>
    </row>
    <row r="103" spans="1:8" ht="15.75" customHeight="1">
      <c r="A103" s="78" t="str">
        <f>A50</f>
        <v>Safflower</v>
      </c>
      <c r="B103" s="80"/>
      <c r="C103" s="80"/>
      <c r="D103" s="80"/>
      <c r="E103" s="80"/>
      <c r="F103" s="80"/>
      <c r="G103" s="80"/>
      <c r="H103" s="80"/>
    </row>
    <row r="104" spans="1:8" ht="15.75" customHeight="1">
      <c r="A104" s="78"/>
      <c r="B104" s="80"/>
      <c r="C104" s="80"/>
      <c r="D104" s="80"/>
      <c r="E104" s="80"/>
      <c r="F104" s="80"/>
      <c r="G104" s="80"/>
      <c r="H104" s="80"/>
    </row>
    <row r="105" spans="1:8" ht="15.75" customHeight="1">
      <c r="A105" s="78"/>
      <c r="B105" s="80"/>
      <c r="C105" s="80"/>
      <c r="D105" s="80"/>
      <c r="E105" s="80"/>
      <c r="F105" s="80"/>
      <c r="G105" s="80"/>
      <c r="H105" s="80"/>
    </row>
    <row r="106" spans="1:8" ht="15.75" customHeight="1">
      <c r="A106" s="78">
        <f>A51</f>
        <v>0</v>
      </c>
      <c r="B106" s="80"/>
      <c r="C106" s="80"/>
      <c r="D106" s="80"/>
      <c r="E106" s="80"/>
      <c r="F106" s="80"/>
      <c r="G106" s="80"/>
      <c r="H106" s="80"/>
    </row>
    <row r="107" spans="1:8" ht="15.75" customHeight="1">
      <c r="A107" s="78"/>
      <c r="B107" s="80"/>
      <c r="C107" s="80"/>
      <c r="D107" s="80"/>
      <c r="E107" s="80"/>
      <c r="F107" s="80"/>
      <c r="G107" s="80"/>
      <c r="H107" s="80"/>
    </row>
    <row r="108" spans="1:8" ht="15.75" customHeight="1">
      <c r="A108" s="78"/>
      <c r="B108" s="80"/>
      <c r="C108" s="80"/>
      <c r="D108" s="80"/>
      <c r="E108" s="80"/>
      <c r="F108" s="80"/>
      <c r="G108" s="80"/>
      <c r="H108" s="80"/>
    </row>
    <row r="109" spans="1:8" ht="15.75" customHeight="1">
      <c r="A109" s="78">
        <f>A52</f>
        <v>0</v>
      </c>
      <c r="B109" s="80"/>
      <c r="C109" s="80"/>
      <c r="D109" s="80"/>
      <c r="E109" s="80"/>
      <c r="F109" s="80"/>
      <c r="G109" s="80"/>
      <c r="H109" s="80"/>
    </row>
    <row r="110" spans="1:8" ht="15.75" customHeight="1">
      <c r="A110" s="78"/>
      <c r="B110" s="80"/>
      <c r="C110" s="80"/>
      <c r="D110" s="80"/>
      <c r="E110" s="80"/>
      <c r="F110" s="80"/>
      <c r="G110" s="80"/>
      <c r="H110" s="80"/>
    </row>
    <row r="111" spans="1:8" ht="15.75" customHeight="1">
      <c r="A111" s="78"/>
      <c r="B111" s="80"/>
      <c r="C111" s="80"/>
      <c r="D111" s="80"/>
      <c r="E111" s="80"/>
      <c r="F111" s="80"/>
      <c r="G111" s="80"/>
      <c r="H111" s="80"/>
    </row>
    <row r="112" spans="1:8" ht="15.75" customHeight="1">
      <c r="A112" s="78">
        <f>A53</f>
        <v>0</v>
      </c>
      <c r="B112" s="80"/>
      <c r="C112" s="80"/>
      <c r="D112" s="80"/>
      <c r="E112" s="80"/>
      <c r="F112" s="80"/>
      <c r="G112" s="80"/>
      <c r="H112" s="80"/>
    </row>
    <row r="113" spans="1:8" ht="15.75" customHeight="1">
      <c r="A113" s="78"/>
      <c r="B113" s="80"/>
      <c r="C113" s="80"/>
      <c r="D113" s="80"/>
      <c r="E113" s="80"/>
      <c r="F113" s="80"/>
      <c r="G113" s="80"/>
      <c r="H113" s="80"/>
    </row>
    <row r="114" spans="1:8" ht="15.75" customHeight="1">
      <c r="A114" s="78"/>
      <c r="B114" s="80"/>
      <c r="C114" s="80"/>
      <c r="D114" s="80"/>
      <c r="E114" s="80"/>
      <c r="F114" s="80"/>
      <c r="G114" s="80"/>
      <c r="H114" s="80"/>
    </row>
    <row r="115" spans="1:8" ht="15.75" customHeight="1">
      <c r="A115" s="78" t="str">
        <f>A54</f>
        <v>Groundnut</v>
      </c>
      <c r="B115" s="80"/>
      <c r="C115" s="80"/>
      <c r="D115" s="80"/>
      <c r="E115" s="80"/>
      <c r="F115" s="80"/>
      <c r="G115" s="80"/>
      <c r="H115" s="80"/>
    </row>
    <row r="116" spans="1:8" ht="15.75" customHeight="1">
      <c r="A116" s="78"/>
      <c r="B116" s="80"/>
      <c r="C116" s="80"/>
      <c r="D116" s="80"/>
      <c r="E116" s="80"/>
      <c r="F116" s="80"/>
      <c r="G116" s="80"/>
      <c r="H116" s="80"/>
    </row>
    <row r="117" spans="1:8" ht="15.75" customHeight="1">
      <c r="A117" s="78"/>
      <c r="B117" s="80"/>
      <c r="C117" s="80"/>
      <c r="D117" s="80"/>
      <c r="E117" s="80"/>
      <c r="F117" s="80"/>
      <c r="G117" s="80"/>
      <c r="H117" s="80"/>
    </row>
    <row r="118" spans="1:8" ht="15.75" customHeight="1">
      <c r="A118" s="78">
        <f>A55</f>
        <v>0</v>
      </c>
      <c r="B118" s="80"/>
      <c r="C118" s="80"/>
      <c r="D118" s="80"/>
      <c r="E118" s="80"/>
      <c r="F118" s="80"/>
      <c r="G118" s="80"/>
      <c r="H118" s="80"/>
    </row>
    <row r="119" spans="1:8" ht="15.75" customHeight="1">
      <c r="A119" s="78"/>
      <c r="B119" s="80"/>
      <c r="C119" s="80"/>
      <c r="D119" s="80"/>
      <c r="E119" s="80"/>
      <c r="F119" s="80"/>
      <c r="G119" s="80"/>
      <c r="H119" s="80"/>
    </row>
    <row r="120" spans="1:8" ht="15.75" customHeight="1">
      <c r="A120" s="78"/>
      <c r="B120" s="80"/>
      <c r="C120" s="80"/>
      <c r="D120" s="80"/>
      <c r="E120" s="80"/>
      <c r="F120" s="80"/>
      <c r="G120" s="80"/>
      <c r="H120" s="80"/>
    </row>
    <row r="121" spans="1:8" ht="15.75" customHeight="1">
      <c r="A121" s="78">
        <f>A56</f>
        <v>0</v>
      </c>
      <c r="B121" s="80"/>
      <c r="C121" s="80"/>
      <c r="D121" s="80"/>
      <c r="E121" s="80"/>
      <c r="F121" s="80"/>
      <c r="G121" s="80"/>
      <c r="H121" s="80"/>
    </row>
    <row r="122" spans="1:8" ht="15.75" customHeight="1">
      <c r="A122" s="73"/>
      <c r="B122" s="120"/>
      <c r="C122" s="120"/>
      <c r="D122" s="120"/>
      <c r="E122" s="120"/>
      <c r="F122" s="120"/>
      <c r="G122" s="120"/>
      <c r="H122" s="120"/>
    </row>
    <row r="123" spans="1:8" ht="15.75" customHeight="1">
      <c r="A123" s="73"/>
      <c r="B123" s="120"/>
      <c r="C123" s="120"/>
      <c r="D123" s="120"/>
      <c r="E123" s="120"/>
      <c r="F123" s="120"/>
      <c r="G123" s="120"/>
      <c r="H123" s="120"/>
    </row>
    <row r="124" spans="1:8" ht="15.75" customHeight="1">
      <c r="A124" s="73" t="s">
        <v>614</v>
      </c>
      <c r="B124">
        <v>1600</v>
      </c>
    </row>
    <row r="125" spans="1:8" ht="15.75" customHeight="1"/>
    <row r="126" spans="1:8" ht="15.75" customHeight="1"/>
    <row r="127" spans="1:8" ht="15.75" customHeight="1"/>
    <row r="128" spans="1:8" ht="15.75" customHeight="1"/>
    <row r="129" spans="1:11" ht="15.75" customHeight="1"/>
    <row r="130" spans="1:11" ht="15.75" customHeight="1"/>
    <row r="131" spans="1:11" ht="15.75" customHeight="1">
      <c r="A131" s="394" t="s">
        <v>615</v>
      </c>
      <c r="B131" s="378"/>
      <c r="C131" s="378"/>
      <c r="D131" s="378"/>
      <c r="E131" s="378"/>
      <c r="F131" s="378"/>
      <c r="G131" s="378"/>
      <c r="H131" s="378"/>
      <c r="I131" s="378"/>
      <c r="J131" s="378"/>
    </row>
    <row r="132" spans="1:11" ht="15.75" customHeight="1">
      <c r="A132" s="26"/>
      <c r="B132" s="26"/>
      <c r="C132" s="26"/>
      <c r="D132" s="26"/>
      <c r="E132" s="26"/>
      <c r="F132" s="26"/>
      <c r="G132" s="26"/>
      <c r="H132" s="26"/>
    </row>
    <row r="133" spans="1:11" ht="15.75" customHeight="1">
      <c r="A133" s="97"/>
      <c r="B133" s="97"/>
      <c r="C133" s="97"/>
      <c r="D133" s="271">
        <v>1</v>
      </c>
      <c r="E133" s="272">
        <v>1.05</v>
      </c>
      <c r="F133" s="272">
        <f>(E133*5%)+E133</f>
        <v>1.1025</v>
      </c>
      <c r="G133" s="272">
        <f t="shared" ref="G133" si="23">(F133*5%)+F133</f>
        <v>1.1576250000000001</v>
      </c>
      <c r="H133" s="272">
        <f>(G133*5%)+G133</f>
        <v>1.2155062500000002</v>
      </c>
      <c r="I133" s="272">
        <f>(H133*5%)+H133</f>
        <v>1.2762815625000004</v>
      </c>
      <c r="J133" s="272">
        <f>(I133*5%)+I133</f>
        <v>1.3400956406250004</v>
      </c>
    </row>
    <row r="134" spans="1:11" ht="15.75" customHeight="1">
      <c r="A134" s="73"/>
      <c r="B134" s="73"/>
      <c r="C134" s="73"/>
      <c r="D134" s="73"/>
      <c r="E134" s="73"/>
      <c r="F134" s="73"/>
      <c r="G134" s="73"/>
      <c r="H134" s="73"/>
      <c r="I134" s="73"/>
      <c r="J134" s="73"/>
    </row>
    <row r="135" spans="1:11" ht="15.75" customHeight="1">
      <c r="A135" s="76" t="s">
        <v>150</v>
      </c>
      <c r="B135" s="76" t="s">
        <v>121</v>
      </c>
      <c r="C135" s="76" t="s">
        <v>131</v>
      </c>
      <c r="D135" s="77" t="s">
        <v>153</v>
      </c>
      <c r="E135" s="77" t="s">
        <v>154</v>
      </c>
      <c r="F135" s="77" t="s">
        <v>155</v>
      </c>
      <c r="G135" s="77" t="s">
        <v>156</v>
      </c>
      <c r="H135" s="77" t="s">
        <v>157</v>
      </c>
      <c r="I135" s="77" t="s">
        <v>158</v>
      </c>
      <c r="J135" s="77" t="s">
        <v>159</v>
      </c>
    </row>
    <row r="136" spans="1:11" ht="15.75" customHeight="1">
      <c r="A136" s="78"/>
      <c r="B136" s="78"/>
      <c r="C136" s="78"/>
      <c r="D136" s="78"/>
      <c r="E136" s="78"/>
      <c r="F136" s="78"/>
      <c r="G136" s="78"/>
      <c r="H136" s="78"/>
      <c r="I136" s="78"/>
      <c r="J136" s="78"/>
    </row>
    <row r="137" spans="1:11" ht="15.75" customHeight="1">
      <c r="A137" s="81" t="s">
        <v>350</v>
      </c>
      <c r="B137" s="81"/>
      <c r="C137" s="81"/>
      <c r="D137" s="133"/>
      <c r="E137" s="133"/>
      <c r="F137" s="133"/>
      <c r="G137" s="133"/>
      <c r="H137" s="133"/>
      <c r="I137" s="78"/>
      <c r="J137" s="78"/>
    </row>
    <row r="138" spans="1:11" ht="15.75" customHeight="1">
      <c r="A138" s="81" t="s">
        <v>616</v>
      </c>
      <c r="B138" s="81"/>
      <c r="C138" s="81"/>
      <c r="D138" s="78"/>
      <c r="E138" s="78"/>
      <c r="F138" s="78"/>
      <c r="G138" s="78"/>
      <c r="H138" s="78"/>
      <c r="I138" s="78"/>
      <c r="J138" s="78"/>
    </row>
    <row r="139" spans="1:11" ht="15.75" customHeight="1">
      <c r="A139" s="78" t="s">
        <v>324</v>
      </c>
      <c r="B139" s="50" t="s">
        <v>588</v>
      </c>
      <c r="C139" s="50">
        <v>5500</v>
      </c>
      <c r="D139" s="80">
        <f>D133*(((B95)*(1-'5.Closing Stock &amp; W Capital'!$D$17)))*$C$139</f>
        <v>23408000</v>
      </c>
      <c r="E139" s="80">
        <f>E133*((((C95)*(1-'5.Closing Stock &amp; W Capital'!$D$17))+((B95)*'5.Closing Stock &amp; W Capital'!$D$17)))*$C$139</f>
        <v>30096412.5</v>
      </c>
      <c r="F139" s="80">
        <f>F133*((((D95)*(1-'5.Closing Stock &amp; W Capital'!$D$17))+((C95)*'5.Closing Stock &amp; W Capital'!$D$17)))*$C$139</f>
        <v>31834687.5</v>
      </c>
      <c r="G139" s="80">
        <f>G133*((((E95)*(1-'5.Closing Stock &amp; W Capital'!$D$17))+((D95)*'5.Closing Stock &amp; W Capital'!$D$17)))*$C$139</f>
        <v>33426421.875000004</v>
      </c>
      <c r="H139" s="80">
        <f>H133*((((F95)*(1-'5.Closing Stock &amp; W Capital'!$D$17))+((E95)*'5.Closing Stock &amp; W Capital'!$D$17)))*$C$139</f>
        <v>35097742.968750007</v>
      </c>
      <c r="I139" s="80">
        <f>I133*((((G95)*(1-'5.Closing Stock &amp; W Capital'!$D$17))+((F95)*'5.Closing Stock &amp; W Capital'!$D$17)))*$C$139</f>
        <v>36852630.117187507</v>
      </c>
      <c r="J139" s="80">
        <f>J133*((((H95)*(1-'5.Closing Stock &amp; W Capital'!$D$17))+((G95)*'5.Closing Stock &amp; W Capital'!$D$17)))*$C$139</f>
        <v>38695261.62304689</v>
      </c>
    </row>
    <row r="140" spans="1:11" ht="15.75" customHeight="1">
      <c r="A140" s="78" t="s">
        <v>325</v>
      </c>
      <c r="B140" s="50" t="s">
        <v>588</v>
      </c>
      <c r="C140" s="50">
        <v>9000</v>
      </c>
      <c r="D140" s="80">
        <f>((((B63)*(1-'5.Closing Stock &amp; W Capital'!$D$17)))*8500*D133)</f>
        <v>67830000</v>
      </c>
      <c r="E140" s="80">
        <f>((((C63)*(1-'5.Closing Stock &amp; W Capital'!$D$17))+((B63)*'5.Closing Stock &amp; W Capital'!$D$17)))*$C$140*E133</f>
        <v>91948500</v>
      </c>
      <c r="F140" s="80">
        <f>((((D63)*(1-'5.Closing Stock &amp; W Capital'!$D$17))+((C63)*'5.Closing Stock &amp; W Capital'!$D$17)))*$C$140*F133</f>
        <v>97240500</v>
      </c>
      <c r="G140" s="80">
        <f>((((E63)*(1-'5.Closing Stock &amp; W Capital'!$D$17))+((D63)*'5.Closing Stock &amp; W Capital'!$D$17)))*$C$140*G133</f>
        <v>102102525.00000001</v>
      </c>
      <c r="H140" s="80">
        <f>((((F63)*(1-'5.Closing Stock &amp; W Capital'!$D$17))+((E63)*'5.Closing Stock &amp; W Capital'!$D$17)))*$C$140*H133</f>
        <v>107207651.25000001</v>
      </c>
      <c r="I140" s="80">
        <f>((((G63)*(1-'5.Closing Stock &amp; W Capital'!$D$17))+((F63)*'5.Closing Stock &amp; W Capital'!$D$17)))*$C$140*I133</f>
        <v>112568033.81250003</v>
      </c>
      <c r="J140" s="80">
        <f>((((H63)*(1-'5.Closing Stock &amp; W Capital'!$D$17))+((G63)*'5.Closing Stock &amp; W Capital'!$D$17)))*$C$140*J133</f>
        <v>118196435.50312504</v>
      </c>
    </row>
    <row r="141" spans="1:11" ht="15.75" customHeight="1">
      <c r="A141" s="78" t="s">
        <v>617</v>
      </c>
      <c r="B141" s="50">
        <v>0</v>
      </c>
      <c r="C141" s="50"/>
      <c r="D141" s="80">
        <f>(((B78*100)*(1-'5.Closing Stock &amp; W Capital'!D17))/$B$124)*$C$141*D133</f>
        <v>0</v>
      </c>
      <c r="E141" s="80">
        <f>((((C78*100)*(1-'5.Closing Stock &amp; W Capital'!$D$17))+((B78*100)*'5.Closing Stock &amp; W Capital'!$D$17))/$B$124)*$C$141*E133</f>
        <v>0</v>
      </c>
      <c r="F141" s="80">
        <f>((((D78*100)*(1-'5.Closing Stock &amp; W Capital'!$D$17))+((C78*100)*'5.Closing Stock &amp; W Capital'!$D$17))/$B$124)*$C$141*F133</f>
        <v>0</v>
      </c>
      <c r="G141" s="80">
        <f>((((E78*100)*(1-'5.Closing Stock &amp; W Capital'!$D$17))+((D78*100)*'5.Closing Stock &amp; W Capital'!$D$17))/$B$124)*$C$141*G133</f>
        <v>0</v>
      </c>
      <c r="H141" s="80">
        <f>((((F78*100)*(1-'5.Closing Stock &amp; W Capital'!$D$17))+((E78*100)*'5.Closing Stock &amp; W Capital'!$D$17))/$B$124)*$C$141*H133</f>
        <v>0</v>
      </c>
      <c r="I141" s="80">
        <f>((((G78*100)*(1-'5.Closing Stock &amp; W Capital'!$D$17))+((F78*100)*'5.Closing Stock &amp; W Capital'!$D$17))/$B$124)*$C$141*I133</f>
        <v>0</v>
      </c>
      <c r="J141" s="80">
        <f>((((H78*100)*(1-'5.Closing Stock &amp; W Capital'!$D$17))+((G78*100)*'5.Closing Stock &amp; W Capital'!$D$17))/$B$124)*$C$141*J133</f>
        <v>0</v>
      </c>
      <c r="K141">
        <v>6300</v>
      </c>
    </row>
    <row r="142" spans="1:11" ht="15.75" customHeight="1">
      <c r="A142" s="78" t="s">
        <v>327</v>
      </c>
      <c r="B142" s="50">
        <v>0</v>
      </c>
      <c r="C142" s="50">
        <v>0</v>
      </c>
      <c r="D142" s="80">
        <f>(((B70*100)*(1-'5.Closing Stock &amp; W Capital'!D17))/B124)*$C$142*D133</f>
        <v>0</v>
      </c>
      <c r="E142" s="80">
        <f>((((C70*100)*(1-'5.Closing Stock &amp; W Capital'!$D$17))+((B70*100)*'5.Closing Stock &amp; W Capital'!$D$17))/$B$124)*$C$142*E133</f>
        <v>0</v>
      </c>
      <c r="F142" s="80">
        <f>((((D70*100)*(1-'5.Closing Stock &amp; W Capital'!$D$17))+((C70*100)*'5.Closing Stock &amp; W Capital'!$D$17))/$B$124)*$C$142*F133</f>
        <v>0</v>
      </c>
      <c r="G142" s="80">
        <f>((((E70*100)*(1-'5.Closing Stock &amp; W Capital'!$D$17))+((D70*100)*'5.Closing Stock &amp; W Capital'!$D$17))/$B$124)*$C$142*G133</f>
        <v>0</v>
      </c>
      <c r="H142" s="80">
        <f>((((F70*100)*(1-'5.Closing Stock &amp; W Capital'!$D$17))+((E70*100)*'5.Closing Stock &amp; W Capital'!$D$17))/$B$124)*$C$142*H133</f>
        <v>0</v>
      </c>
      <c r="I142" s="80">
        <f>((((G70*100)*(1-'5.Closing Stock &amp; W Capital'!$D$17))+((F70*100)*'5.Closing Stock &amp; W Capital'!$D$17))/$B$124)*$C$142*I133</f>
        <v>0</v>
      </c>
      <c r="J142" s="80">
        <f>((((H70*100)*(1-'5.Closing Stock &amp; W Capital'!$D$17))+((G70*100)*'5.Closing Stock &amp; W Capital'!$D$17))/$B$124)*$C$142*J133</f>
        <v>0</v>
      </c>
      <c r="K142">
        <f>+K141*95%</f>
        <v>5985</v>
      </c>
    </row>
    <row r="143" spans="1:11" ht="15.75" customHeight="1">
      <c r="A143" s="78"/>
      <c r="B143" s="78"/>
      <c r="C143" s="78"/>
      <c r="D143" s="80"/>
      <c r="E143" s="80"/>
      <c r="F143" s="80"/>
      <c r="G143" s="80"/>
      <c r="H143" s="80"/>
      <c r="I143" s="80"/>
      <c r="J143" s="80"/>
      <c r="K143">
        <f>+K142*8500</f>
        <v>50872500</v>
      </c>
    </row>
    <row r="144" spans="1:11" ht="15.75" customHeight="1">
      <c r="A144" s="81" t="s">
        <v>613</v>
      </c>
      <c r="B144" s="50" t="s">
        <v>588</v>
      </c>
      <c r="C144" s="55">
        <v>1250</v>
      </c>
      <c r="D144" s="80">
        <f t="shared" ref="D144:E144" si="24">((B64+B96+B79+B71))*$C$144*D133</f>
        <v>5400000</v>
      </c>
      <c r="E144" s="80">
        <f t="shared" si="24"/>
        <v>6628125</v>
      </c>
      <c r="F144" s="80">
        <f>((D64+D96+D79+D71))*$C$144*F133</f>
        <v>8888906.25</v>
      </c>
      <c r="G144" s="80">
        <f t="shared" ref="G144:J144" si="25">((E64+E96+E79+E71))*$C$144*G133</f>
        <v>9333351.5625000019</v>
      </c>
      <c r="H144" s="80">
        <f t="shared" si="25"/>
        <v>9800019.1406250019</v>
      </c>
      <c r="I144" s="80">
        <f t="shared" si="25"/>
        <v>10290020.097656254</v>
      </c>
      <c r="J144" s="80">
        <f t="shared" si="25"/>
        <v>10804521.102539066</v>
      </c>
    </row>
    <row r="145" spans="1:11" ht="15.75" customHeight="1">
      <c r="A145" s="78"/>
      <c r="B145" s="50"/>
      <c r="C145" s="50"/>
      <c r="D145" s="80"/>
      <c r="E145" s="80"/>
      <c r="F145" s="80"/>
      <c r="G145" s="80"/>
      <c r="H145" s="80"/>
      <c r="I145" s="80"/>
      <c r="J145" s="80"/>
      <c r="K145" s="278">
        <f>[2]Output!T58*70*K133</f>
        <v>0</v>
      </c>
    </row>
    <row r="146" spans="1:11" ht="15.75" customHeight="1">
      <c r="A146" s="81" t="s">
        <v>589</v>
      </c>
      <c r="B146" s="55" t="s">
        <v>618</v>
      </c>
      <c r="C146" s="50">
        <v>6</v>
      </c>
      <c r="D146" s="80">
        <f t="shared" ref="D146:J146" si="26">(B35*100)*$C$146*D133</f>
        <v>0</v>
      </c>
      <c r="E146" s="80">
        <f t="shared" si="26"/>
        <v>0</v>
      </c>
      <c r="F146" s="80">
        <f t="shared" si="26"/>
        <v>0</v>
      </c>
      <c r="G146" s="80">
        <f t="shared" si="26"/>
        <v>0</v>
      </c>
      <c r="H146" s="80">
        <f t="shared" si="26"/>
        <v>0</v>
      </c>
      <c r="I146" s="80">
        <f t="shared" si="26"/>
        <v>0</v>
      </c>
      <c r="J146" s="80">
        <f t="shared" si="26"/>
        <v>0</v>
      </c>
    </row>
    <row r="147" spans="1:11" ht="15.75" customHeight="1">
      <c r="A147" s="78"/>
      <c r="B147" s="78"/>
      <c r="C147" s="78"/>
      <c r="D147" s="80"/>
      <c r="E147" s="80"/>
      <c r="F147" s="80"/>
      <c r="G147" s="80"/>
      <c r="H147" s="80"/>
      <c r="I147" s="80"/>
      <c r="J147" s="80"/>
    </row>
    <row r="148" spans="1:11" ht="15.75" customHeight="1">
      <c r="A148" s="81" t="s">
        <v>350</v>
      </c>
      <c r="B148" s="81"/>
      <c r="C148" s="81"/>
      <c r="D148" s="82">
        <f>SUM(D139:D146)</f>
        <v>96638000</v>
      </c>
      <c r="E148" s="82">
        <f t="shared" ref="E148:J148" si="27">SUM(E139:E146)</f>
        <v>128673037.5</v>
      </c>
      <c r="F148" s="82">
        <f t="shared" si="27"/>
        <v>137964093.75</v>
      </c>
      <c r="G148" s="82">
        <f t="shared" si="27"/>
        <v>144862298.43750003</v>
      </c>
      <c r="H148" s="82">
        <f t="shared" si="27"/>
        <v>152105413.35937503</v>
      </c>
      <c r="I148" s="82">
        <f t="shared" si="27"/>
        <v>159710684.02734378</v>
      </c>
      <c r="J148" s="82">
        <f t="shared" si="27"/>
        <v>167696218.22871101</v>
      </c>
    </row>
    <row r="149" spans="1:11" ht="15.75" customHeight="1">
      <c r="A149" s="78"/>
      <c r="B149" s="78"/>
      <c r="C149" s="78"/>
      <c r="D149" s="80"/>
      <c r="E149" s="80"/>
      <c r="F149" s="80"/>
      <c r="G149" s="80"/>
      <c r="H149" s="80"/>
      <c r="I149" s="80"/>
      <c r="J149" s="80"/>
    </row>
    <row r="150" spans="1:11" ht="15.75" customHeight="1">
      <c r="A150" s="81" t="s">
        <v>590</v>
      </c>
      <c r="B150" s="81"/>
      <c r="C150" s="81"/>
      <c r="D150" s="80"/>
      <c r="E150" s="80"/>
      <c r="F150" s="80"/>
      <c r="G150" s="80"/>
      <c r="H150" s="80"/>
      <c r="I150" s="80"/>
      <c r="J150" s="80"/>
    </row>
    <row r="151" spans="1:11" ht="15.75" customHeight="1">
      <c r="A151" s="81" t="s">
        <v>358</v>
      </c>
      <c r="B151" s="81"/>
      <c r="C151" s="78"/>
      <c r="D151" s="80"/>
      <c r="E151" s="80"/>
      <c r="F151" s="80"/>
      <c r="G151" s="80"/>
      <c r="H151" s="80"/>
      <c r="I151" s="80"/>
      <c r="J151" s="80"/>
    </row>
    <row r="152" spans="1:11" ht="15.75" customHeight="1">
      <c r="A152" s="78" t="s">
        <v>324</v>
      </c>
      <c r="B152" s="50" t="s">
        <v>588</v>
      </c>
      <c r="C152" s="79">
        <v>3600</v>
      </c>
      <c r="D152" s="80">
        <f>(B47)*$C$152*D133</f>
        <v>23040000</v>
      </c>
      <c r="E152" s="80">
        <f t="shared" ref="E152:J152" si="28">(C47)*$C$152*E133</f>
        <v>28350000</v>
      </c>
      <c r="F152" s="80">
        <f t="shared" si="28"/>
        <v>29767500</v>
      </c>
      <c r="G152" s="80">
        <f t="shared" si="28"/>
        <v>31255875.000000004</v>
      </c>
      <c r="H152" s="80">
        <f t="shared" si="28"/>
        <v>32818668.750000007</v>
      </c>
      <c r="I152" s="80">
        <f t="shared" si="28"/>
        <v>34459602.187500007</v>
      </c>
      <c r="J152" s="80">
        <f t="shared" si="28"/>
        <v>36182582.296875015</v>
      </c>
    </row>
    <row r="153" spans="1:11" ht="15.75" customHeight="1">
      <c r="A153" s="78" t="s">
        <v>619</v>
      </c>
      <c r="B153" s="50" t="s">
        <v>588</v>
      </c>
      <c r="C153" s="79">
        <v>6350</v>
      </c>
      <c r="D153" s="80">
        <f>(B38)*$C$153*D133</f>
        <v>76200000</v>
      </c>
      <c r="E153" s="80">
        <f t="shared" ref="E153:J153" si="29">(C38)*$C$153*E133</f>
        <v>93345000</v>
      </c>
      <c r="F153" s="80">
        <f>(D38)*$C$153*F133</f>
        <v>98012250</v>
      </c>
      <c r="G153" s="80">
        <f t="shared" si="29"/>
        <v>102912862.50000001</v>
      </c>
      <c r="H153" s="80">
        <f t="shared" si="29"/>
        <v>108058505.62500001</v>
      </c>
      <c r="I153" s="80">
        <f t="shared" si="29"/>
        <v>113461430.90625003</v>
      </c>
      <c r="J153" s="80">
        <f t="shared" si="29"/>
        <v>119134502.45156254</v>
      </c>
    </row>
    <row r="154" spans="1:11" ht="15.75" customHeight="1">
      <c r="A154" s="78" t="s">
        <v>620</v>
      </c>
      <c r="B154" s="50" t="s">
        <v>588</v>
      </c>
      <c r="C154" s="79">
        <v>0</v>
      </c>
      <c r="D154" s="80">
        <f t="shared" ref="D154:J154" si="30">(B42)*$C$154*D133</f>
        <v>0</v>
      </c>
      <c r="E154" s="80">
        <f t="shared" si="30"/>
        <v>0</v>
      </c>
      <c r="F154" s="80">
        <f t="shared" si="30"/>
        <v>0</v>
      </c>
      <c r="G154" s="80">
        <f t="shared" si="30"/>
        <v>0</v>
      </c>
      <c r="H154" s="80">
        <f t="shared" si="30"/>
        <v>0</v>
      </c>
      <c r="I154" s="80">
        <f t="shared" si="30"/>
        <v>0</v>
      </c>
      <c r="J154" s="80">
        <f t="shared" si="30"/>
        <v>0</v>
      </c>
    </row>
    <row r="155" spans="1:11" ht="15.75" customHeight="1">
      <c r="A155" s="78" t="s">
        <v>327</v>
      </c>
      <c r="B155" s="50" t="s">
        <v>588</v>
      </c>
      <c r="C155" s="79">
        <v>0</v>
      </c>
      <c r="D155" s="80">
        <f t="shared" ref="D155:J155" si="31">(B40)*$C$155*D133</f>
        <v>0</v>
      </c>
      <c r="E155" s="80">
        <f t="shared" si="31"/>
        <v>0</v>
      </c>
      <c r="F155" s="80">
        <f t="shared" si="31"/>
        <v>0</v>
      </c>
      <c r="G155" s="80">
        <f t="shared" si="31"/>
        <v>0</v>
      </c>
      <c r="H155" s="80">
        <f t="shared" si="31"/>
        <v>0</v>
      </c>
      <c r="I155" s="80">
        <f t="shared" si="31"/>
        <v>0</v>
      </c>
      <c r="J155" s="80">
        <f t="shared" si="31"/>
        <v>0</v>
      </c>
    </row>
    <row r="156" spans="1:11" ht="15.75" customHeight="1">
      <c r="A156" s="78" t="s">
        <v>621</v>
      </c>
      <c r="B156" s="50">
        <v>0</v>
      </c>
      <c r="C156" s="50">
        <v>0</v>
      </c>
      <c r="D156" s="80">
        <f t="shared" ref="D156:J156" si="32">(B32/10)*$B$156*$C$156*D133</f>
        <v>0</v>
      </c>
      <c r="E156" s="80">
        <f t="shared" si="32"/>
        <v>0</v>
      </c>
      <c r="F156" s="80">
        <f t="shared" si="32"/>
        <v>0</v>
      </c>
      <c r="G156" s="80">
        <f t="shared" si="32"/>
        <v>0</v>
      </c>
      <c r="H156" s="80">
        <f t="shared" si="32"/>
        <v>0</v>
      </c>
      <c r="I156" s="80">
        <f t="shared" si="32"/>
        <v>0</v>
      </c>
      <c r="J156" s="80">
        <f t="shared" si="32"/>
        <v>0</v>
      </c>
    </row>
    <row r="157" spans="1:11" ht="15.75" customHeight="1">
      <c r="A157" s="78" t="s">
        <v>622</v>
      </c>
      <c r="B157" s="50">
        <v>4</v>
      </c>
      <c r="C157" s="50">
        <v>400</v>
      </c>
      <c r="D157" s="80">
        <f t="shared" ref="D157" si="33">B12*$B$157*$C$157*D133</f>
        <v>280380.95238095237</v>
      </c>
      <c r="E157" s="80">
        <f t="shared" ref="E157" si="34">C12*$B$157*$C$157*E133</f>
        <v>344000</v>
      </c>
      <c r="F157" s="80">
        <f t="shared" ref="F157:J157" si="35">D12*$B$157*$C$157*F133</f>
        <v>361200</v>
      </c>
      <c r="G157" s="80">
        <f t="shared" si="35"/>
        <v>379260.00000000006</v>
      </c>
      <c r="H157" s="80">
        <f>F12*$B$157*$C$157*H133</f>
        <v>398223.00000000012</v>
      </c>
      <c r="I157" s="80">
        <f t="shared" si="35"/>
        <v>418134.15000000014</v>
      </c>
      <c r="J157" s="80">
        <f t="shared" si="35"/>
        <v>439040.85750000016</v>
      </c>
    </row>
    <row r="158" spans="1:11" ht="15.75" customHeight="1">
      <c r="A158" s="78" t="s">
        <v>592</v>
      </c>
      <c r="B158" s="78">
        <v>100</v>
      </c>
      <c r="C158" s="50">
        <v>10</v>
      </c>
      <c r="D158" s="80">
        <f t="shared" ref="D158" si="36">$B$158*$C$158*B12*D133</f>
        <v>175238.09523809524</v>
      </c>
      <c r="E158" s="80">
        <f t="shared" ref="E158" si="37">$B$158*$C$158*C12*E133</f>
        <v>215000</v>
      </c>
      <c r="F158" s="80">
        <f t="shared" ref="F158:J158" si="38">$B$158*$C$158*D12*F133</f>
        <v>225750</v>
      </c>
      <c r="G158" s="80">
        <f t="shared" si="38"/>
        <v>237037.50000000003</v>
      </c>
      <c r="H158" s="80">
        <f t="shared" si="38"/>
        <v>248889.37500000006</v>
      </c>
      <c r="I158" s="80">
        <f t="shared" si="38"/>
        <v>261333.84375000009</v>
      </c>
      <c r="J158" s="80">
        <f t="shared" si="38"/>
        <v>274400.53593750007</v>
      </c>
    </row>
    <row r="159" spans="1:11" ht="15.75" customHeight="1">
      <c r="A159" s="78" t="s">
        <v>623</v>
      </c>
      <c r="B159" s="78"/>
      <c r="C159" s="50">
        <v>10</v>
      </c>
      <c r="D159" s="80">
        <f t="shared" ref="D159:J159" si="39">((B35*100)/50)*$C$159*D133</f>
        <v>0</v>
      </c>
      <c r="E159" s="80">
        <f t="shared" si="39"/>
        <v>0</v>
      </c>
      <c r="F159" s="80">
        <f t="shared" si="39"/>
        <v>0</v>
      </c>
      <c r="G159" s="80">
        <f t="shared" si="39"/>
        <v>0</v>
      </c>
      <c r="H159" s="80">
        <f t="shared" si="39"/>
        <v>0</v>
      </c>
      <c r="I159" s="80">
        <f t="shared" si="39"/>
        <v>0</v>
      </c>
      <c r="J159" s="80">
        <f t="shared" si="39"/>
        <v>0</v>
      </c>
    </row>
    <row r="160" spans="1:11" ht="15.75" customHeight="1">
      <c r="A160" s="197" t="s">
        <v>624</v>
      </c>
      <c r="B160" s="197"/>
      <c r="C160" s="279">
        <v>140</v>
      </c>
      <c r="D160" s="80">
        <f t="shared" ref="D160:E160" si="40">(((B78+B69+B95+B63))*$C$160*D133)</f>
        <v>1803200</v>
      </c>
      <c r="E160" s="80">
        <f t="shared" si="40"/>
        <v>2212350</v>
      </c>
      <c r="F160" s="80">
        <f>(((D78+D69+D95+D63))*$C$160*F133)</f>
        <v>2322967.5</v>
      </c>
      <c r="G160" s="80">
        <f t="shared" ref="G160:J160" si="41">(((E78+E69+E95+E63))*$C$160*G133)</f>
        <v>2439115.8750000005</v>
      </c>
      <c r="H160" s="80">
        <f t="shared" si="41"/>
        <v>2561071.6687500007</v>
      </c>
      <c r="I160" s="80">
        <f t="shared" si="41"/>
        <v>2689125.2521875007</v>
      </c>
      <c r="J160" s="80">
        <f t="shared" si="41"/>
        <v>2823581.5147968759</v>
      </c>
    </row>
    <row r="161" spans="1:10" ht="15.75" customHeight="1">
      <c r="A161" s="78" t="s">
        <v>625</v>
      </c>
      <c r="B161" s="78"/>
      <c r="C161" s="50">
        <v>35</v>
      </c>
      <c r="D161" s="80">
        <f t="shared" ref="D161:E161" si="42">(((B78+B69+B95+B63))*$C$161*D133)</f>
        <v>450800</v>
      </c>
      <c r="E161" s="80">
        <f t="shared" si="42"/>
        <v>553087.5</v>
      </c>
      <c r="F161" s="80">
        <f>(((D78+D69+D95+D63))*$C$161*F133)</f>
        <v>580741.875</v>
      </c>
      <c r="G161" s="80">
        <f t="shared" ref="G161:J161" si="43">(((E78+E69+E95+E63))*$C$161*G133)</f>
        <v>609778.96875000012</v>
      </c>
      <c r="H161" s="80">
        <f t="shared" si="43"/>
        <v>640267.91718750016</v>
      </c>
      <c r="I161" s="80">
        <f t="shared" si="43"/>
        <v>672281.31304687518</v>
      </c>
      <c r="J161" s="80">
        <f t="shared" si="43"/>
        <v>705895.37869921897</v>
      </c>
    </row>
    <row r="162" spans="1:10" ht="15.75" customHeight="1">
      <c r="A162" s="140"/>
      <c r="B162" s="140"/>
      <c r="C162" s="140"/>
      <c r="D162" s="140"/>
      <c r="E162" s="140"/>
      <c r="F162" s="140"/>
      <c r="G162" s="140"/>
      <c r="H162" s="140"/>
      <c r="I162" s="140"/>
      <c r="J162" s="140"/>
    </row>
    <row r="163" spans="1:10" ht="15.75" customHeight="1">
      <c r="A163" s="140"/>
      <c r="B163" s="140"/>
      <c r="C163" s="140"/>
      <c r="D163" s="140"/>
      <c r="E163" s="140"/>
      <c r="F163" s="140"/>
      <c r="G163" s="140"/>
      <c r="H163" s="140"/>
      <c r="I163" s="140"/>
      <c r="J163" s="140"/>
    </row>
    <row r="164" spans="1:10" ht="15.75" customHeight="1">
      <c r="A164" s="140"/>
      <c r="B164" s="140"/>
      <c r="C164" s="140"/>
      <c r="D164" s="140"/>
      <c r="E164" s="140"/>
      <c r="F164" s="140"/>
      <c r="G164" s="140"/>
      <c r="H164" s="140"/>
      <c r="I164" s="140"/>
      <c r="J164" s="140"/>
    </row>
    <row r="165" spans="1:10" ht="15.75" customHeight="1">
      <c r="A165" s="140"/>
      <c r="B165" s="140"/>
      <c r="C165" s="140"/>
      <c r="D165" s="140"/>
      <c r="E165" s="140"/>
      <c r="F165" s="140"/>
      <c r="G165" s="140"/>
      <c r="H165" s="140"/>
      <c r="I165" s="140"/>
      <c r="J165" s="140"/>
    </row>
    <row r="166" spans="1:10" ht="15.75" customHeight="1">
      <c r="A166" s="80" t="s">
        <v>595</v>
      </c>
      <c r="B166" s="80"/>
      <c r="C166" s="80"/>
      <c r="D166" s="80"/>
      <c r="E166" s="80">
        <f>'5.Closing Stock &amp; W Capital'!F8</f>
        <v>5074940.9523809524</v>
      </c>
      <c r="F166" s="80">
        <f>'5.Closing Stock &amp; W Capital'!G8</f>
        <v>6223317.5</v>
      </c>
      <c r="G166" s="80">
        <f>'5.Closing Stock &amp; W Capital'!H8</f>
        <v>6534483.375</v>
      </c>
      <c r="H166" s="80">
        <f>'5.Closing Stock &amp; W Capital'!I8</f>
        <v>6861207.543750002</v>
      </c>
      <c r="I166" s="80">
        <f>'5.Closing Stock &amp; W Capital'!J8</f>
        <v>7204267.9209375009</v>
      </c>
      <c r="J166" s="80">
        <f>'5.Closing Stock &amp; W Capital'!K8</f>
        <v>7564481.3169843769</v>
      </c>
    </row>
    <row r="167" spans="1:10" ht="15.75" customHeight="1">
      <c r="A167" s="80" t="s">
        <v>596</v>
      </c>
      <c r="B167" s="80"/>
      <c r="C167" s="80"/>
      <c r="D167" s="80">
        <f>'5.Closing Stock &amp; W Capital'!E17</f>
        <v>5074940.9523809524</v>
      </c>
      <c r="E167" s="80">
        <f>'5.Closing Stock &amp; W Capital'!F17</f>
        <v>6223317.5</v>
      </c>
      <c r="F167" s="80">
        <f>'5.Closing Stock &amp; W Capital'!G17</f>
        <v>6534483.375</v>
      </c>
      <c r="G167" s="80">
        <f>'5.Closing Stock &amp; W Capital'!H17</f>
        <v>6861207.543750002</v>
      </c>
      <c r="H167" s="80">
        <f>'5.Closing Stock &amp; W Capital'!I17</f>
        <v>7204267.9209375009</v>
      </c>
      <c r="I167" s="80">
        <f>'5.Closing Stock &amp; W Capital'!J17</f>
        <v>7564481.3169843769</v>
      </c>
      <c r="J167" s="80">
        <f>'5.Closing Stock &amp; W Capital'!K17</f>
        <v>7942705.3828335963</v>
      </c>
    </row>
    <row r="168" spans="1:10" ht="15.75" customHeight="1">
      <c r="A168" s="80"/>
      <c r="B168" s="80"/>
      <c r="C168" s="80"/>
      <c r="D168" s="80"/>
      <c r="E168" s="80"/>
      <c r="F168" s="80"/>
      <c r="G168" s="80"/>
      <c r="H168" s="80"/>
      <c r="I168" s="80"/>
      <c r="J168" s="80"/>
    </row>
    <row r="169" spans="1:10" ht="15.75" customHeight="1">
      <c r="A169" s="82" t="s">
        <v>359</v>
      </c>
      <c r="B169" s="80"/>
      <c r="C169" s="80"/>
      <c r="D169" s="82">
        <f t="shared" ref="D169:J169" si="44">SUM(D152:D166)-D167</f>
        <v>96874678.09523809</v>
      </c>
      <c r="E169" s="82">
        <f t="shared" si="44"/>
        <v>123871060.95238096</v>
      </c>
      <c r="F169" s="82">
        <f t="shared" si="44"/>
        <v>130959243.5</v>
      </c>
      <c r="G169" s="82">
        <f t="shared" si="44"/>
        <v>137507205.67500004</v>
      </c>
      <c r="H169" s="82">
        <f t="shared" si="44"/>
        <v>144382565.95875001</v>
      </c>
      <c r="I169" s="82">
        <f t="shared" si="44"/>
        <v>151601694.25668752</v>
      </c>
      <c r="J169" s="82">
        <f t="shared" si="44"/>
        <v>159181778.96952191</v>
      </c>
    </row>
    <row r="170" spans="1:10" ht="15.75" customHeight="1">
      <c r="A170" s="73"/>
      <c r="B170" s="73"/>
      <c r="C170" s="73"/>
      <c r="D170" s="73"/>
      <c r="E170" s="73"/>
      <c r="F170" s="73"/>
      <c r="G170" s="73"/>
      <c r="H170" s="73"/>
      <c r="I170" s="73"/>
      <c r="J170" s="73"/>
    </row>
    <row r="171" spans="1:10" ht="15.75" customHeight="1">
      <c r="A171" s="193" t="s">
        <v>360</v>
      </c>
      <c r="B171" s="193"/>
      <c r="C171" s="193"/>
      <c r="D171" s="82"/>
      <c r="E171" s="82"/>
      <c r="F171" s="82"/>
      <c r="G171" s="82"/>
      <c r="H171" s="82"/>
      <c r="I171" s="82"/>
      <c r="J171" s="82"/>
    </row>
    <row r="172" spans="1:10" ht="15.75" customHeight="1">
      <c r="A172" s="78" t="s">
        <v>597</v>
      </c>
      <c r="B172" s="50">
        <v>1</v>
      </c>
      <c r="C172" s="79"/>
      <c r="D172" s="80">
        <f t="shared" ref="D172:J172" si="45">$B$172*$C$172*12*D133</f>
        <v>0</v>
      </c>
      <c r="E172" s="80">
        <f t="shared" si="45"/>
        <v>0</v>
      </c>
      <c r="F172" s="80">
        <f t="shared" si="45"/>
        <v>0</v>
      </c>
      <c r="G172" s="80">
        <f t="shared" si="45"/>
        <v>0</v>
      </c>
      <c r="H172" s="80">
        <f t="shared" si="45"/>
        <v>0</v>
      </c>
      <c r="I172" s="80">
        <f t="shared" si="45"/>
        <v>0</v>
      </c>
      <c r="J172" s="80">
        <f t="shared" si="45"/>
        <v>0</v>
      </c>
    </row>
    <row r="173" spans="1:10" ht="15.75" customHeight="1">
      <c r="A173" s="78"/>
      <c r="B173" s="50"/>
      <c r="C173" s="79"/>
      <c r="D173" s="80"/>
      <c r="E173" s="80"/>
      <c r="F173" s="80"/>
      <c r="G173" s="80"/>
      <c r="H173" s="80"/>
      <c r="I173" s="80"/>
      <c r="J173" s="80"/>
    </row>
    <row r="174" spans="1:10" ht="15.75" customHeight="1">
      <c r="A174" s="78"/>
      <c r="B174" s="50"/>
      <c r="C174" s="79"/>
      <c r="D174" s="80"/>
      <c r="E174" s="80"/>
      <c r="F174" s="80"/>
      <c r="G174" s="80"/>
      <c r="H174" s="80"/>
      <c r="I174" s="80"/>
      <c r="J174" s="80"/>
    </row>
    <row r="175" spans="1:10" ht="15.75" customHeight="1">
      <c r="A175" s="78"/>
      <c r="B175" s="50"/>
      <c r="C175" s="79"/>
      <c r="D175" s="80"/>
      <c r="E175" s="80"/>
      <c r="F175" s="80"/>
      <c r="G175" s="80"/>
      <c r="H175" s="80"/>
      <c r="I175" s="80"/>
      <c r="J175" s="80"/>
    </row>
    <row r="176" spans="1:10" ht="15.75" customHeight="1">
      <c r="A176" s="78"/>
      <c r="B176" s="50"/>
      <c r="C176" s="79"/>
      <c r="D176" s="80"/>
      <c r="E176" s="80"/>
      <c r="F176" s="80"/>
      <c r="G176" s="80"/>
      <c r="H176" s="80"/>
      <c r="I176" s="80"/>
      <c r="J176" s="80"/>
    </row>
    <row r="177" spans="1:10" ht="15.75" customHeight="1">
      <c r="A177" s="81" t="s">
        <v>360</v>
      </c>
      <c r="B177" s="81"/>
      <c r="C177" s="81"/>
      <c r="D177" s="82">
        <f t="shared" ref="D177:J177" si="46">SUM(D172:D176)</f>
        <v>0</v>
      </c>
      <c r="E177" s="82">
        <f t="shared" si="46"/>
        <v>0</v>
      </c>
      <c r="F177" s="82">
        <f t="shared" si="46"/>
        <v>0</v>
      </c>
      <c r="G177" s="82">
        <f t="shared" si="46"/>
        <v>0</v>
      </c>
      <c r="H177" s="82">
        <f t="shared" si="46"/>
        <v>0</v>
      </c>
      <c r="I177" s="82">
        <f t="shared" si="46"/>
        <v>0</v>
      </c>
      <c r="J177" s="82">
        <f t="shared" si="46"/>
        <v>0</v>
      </c>
    </row>
    <row r="178" spans="1:10" ht="15.75" customHeight="1">
      <c r="A178" s="193" t="s">
        <v>626</v>
      </c>
      <c r="B178" s="193"/>
      <c r="C178" s="193"/>
      <c r="D178" s="82">
        <f t="shared" ref="D178:J178" si="47">D169+D177</f>
        <v>96874678.09523809</v>
      </c>
      <c r="E178" s="82">
        <f t="shared" si="47"/>
        <v>123871060.95238096</v>
      </c>
      <c r="F178" s="82">
        <f t="shared" si="47"/>
        <v>130959243.5</v>
      </c>
      <c r="G178" s="82">
        <f t="shared" si="47"/>
        <v>137507205.67500004</v>
      </c>
      <c r="H178" s="82">
        <f t="shared" si="47"/>
        <v>144382565.95875001</v>
      </c>
      <c r="I178" s="82">
        <f t="shared" si="47"/>
        <v>151601694.25668752</v>
      </c>
      <c r="J178" s="82">
        <f t="shared" si="47"/>
        <v>159181778.96952191</v>
      </c>
    </row>
    <row r="179" spans="1:10" ht="15.75" customHeight="1">
      <c r="A179" s="78"/>
      <c r="B179" s="78"/>
      <c r="C179" s="78"/>
      <c r="D179" s="80"/>
      <c r="E179" s="80"/>
      <c r="F179" s="80"/>
      <c r="G179" s="80"/>
      <c r="H179" s="80"/>
      <c r="I179" s="80"/>
      <c r="J179" s="80"/>
    </row>
    <row r="180" spans="1:10" ht="15.75" customHeight="1">
      <c r="A180" s="81" t="s">
        <v>407</v>
      </c>
      <c r="B180" s="81"/>
      <c r="C180" s="81"/>
      <c r="D180" s="82">
        <f>D148-D178</f>
        <v>-236678.09523808956</v>
      </c>
      <c r="E180" s="82">
        <f t="shared" ref="E180:J180" si="48">E148-E178</f>
        <v>4801976.5476190448</v>
      </c>
      <c r="F180" s="82">
        <f t="shared" si="48"/>
        <v>7004850.25</v>
      </c>
      <c r="G180" s="82">
        <f t="shared" si="48"/>
        <v>7355092.7624999881</v>
      </c>
      <c r="H180" s="82">
        <f t="shared" si="48"/>
        <v>7722847.4006250203</v>
      </c>
      <c r="I180" s="82">
        <f t="shared" si="48"/>
        <v>8108989.7706562579</v>
      </c>
      <c r="J180" s="82">
        <f t="shared" si="48"/>
        <v>8514439.2591890991</v>
      </c>
    </row>
    <row r="181" spans="1:10" ht="15.75" customHeight="1">
      <c r="A181" s="98"/>
      <c r="B181" s="98"/>
      <c r="C181" s="98"/>
      <c r="D181" s="73"/>
      <c r="E181" s="73"/>
      <c r="F181" s="73"/>
      <c r="G181" s="73"/>
      <c r="H181" s="73"/>
      <c r="I181" s="73"/>
      <c r="J181" s="73"/>
    </row>
    <row r="182" spans="1:10" ht="15.75" customHeight="1">
      <c r="A182" s="73"/>
      <c r="B182" s="73"/>
      <c r="C182" s="73"/>
      <c r="D182" s="73"/>
      <c r="E182" s="73"/>
      <c r="F182" s="73"/>
      <c r="G182" s="73"/>
      <c r="H182" s="73"/>
      <c r="I182" s="73"/>
      <c r="J182" s="73"/>
    </row>
    <row r="183" spans="1:10" ht="15.75" customHeight="1">
      <c r="A183" s="73"/>
      <c r="B183" s="73"/>
      <c r="C183" s="73"/>
      <c r="D183" s="73"/>
      <c r="E183" s="73"/>
      <c r="F183" s="73"/>
      <c r="G183" s="73"/>
      <c r="H183" s="73"/>
      <c r="I183" s="73"/>
      <c r="J183" s="73"/>
    </row>
    <row r="184" spans="1:10" ht="15.75" customHeight="1">
      <c r="A184" s="396" t="s">
        <v>627</v>
      </c>
      <c r="B184" s="378"/>
      <c r="C184" s="378"/>
      <c r="D184" s="378"/>
      <c r="E184" s="378"/>
      <c r="F184" s="378"/>
      <c r="G184" s="378"/>
      <c r="H184" s="378"/>
      <c r="I184" s="378"/>
      <c r="J184" s="378"/>
    </row>
    <row r="185" spans="1:10" ht="15.75" customHeight="1"/>
    <row r="186" spans="1:10" ht="15.75" customHeight="1">
      <c r="A186" t="s">
        <v>314</v>
      </c>
    </row>
    <row r="187" spans="1:10" ht="15.75" customHeight="1">
      <c r="A187">
        <v>1</v>
      </c>
      <c r="B187" t="s">
        <v>602</v>
      </c>
    </row>
    <row r="188" spans="1:10" ht="15.75" customHeight="1">
      <c r="A188">
        <v>2</v>
      </c>
      <c r="B188" t="s">
        <v>603</v>
      </c>
    </row>
    <row r="189" spans="1:10" ht="15.75" customHeight="1">
      <c r="A189">
        <v>3</v>
      </c>
      <c r="B189" s="73" t="s">
        <v>604</v>
      </c>
    </row>
  </sheetData>
  <mergeCells count="4">
    <mergeCell ref="A131:J131"/>
    <mergeCell ref="A3:H3"/>
    <mergeCell ref="A184:J184"/>
    <mergeCell ref="A4:H4"/>
  </mergeCells>
  <pageMargins left="0.7" right="0.7" top="0.75" bottom="0.75" header="0" footer="0"/>
  <pageSetup paperSize="9" orientation="portrait" r:id="rId1"/>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workbookViewId="0">
      <selection activeCell="E21" sqref="E21:E22"/>
    </sheetView>
  </sheetViews>
  <sheetFormatPr defaultColWidth="14.42578125" defaultRowHeight="15" customHeight="1"/>
  <cols>
    <col min="1" max="1" width="30.42578125" customWidth="1"/>
    <col min="2" max="2" width="9.85546875" customWidth="1"/>
    <col min="3" max="3" width="11.140625" customWidth="1"/>
    <col min="4" max="10" width="9.5703125" customWidth="1"/>
    <col min="11" max="11" width="8.7109375" customWidth="1"/>
  </cols>
  <sheetData>
    <row r="2" spans="1:10" ht="18.75">
      <c r="A2" s="394" t="s">
        <v>628</v>
      </c>
      <c r="B2" s="378"/>
      <c r="C2" s="378"/>
      <c r="D2" s="378"/>
      <c r="E2" s="378"/>
      <c r="F2" s="378"/>
      <c r="G2" s="378"/>
      <c r="H2" s="378"/>
    </row>
    <row r="3" spans="1:10" ht="18.75">
      <c r="A3" s="394" t="s">
        <v>629</v>
      </c>
      <c r="B3" s="378"/>
      <c r="C3" s="378"/>
      <c r="D3" s="378"/>
      <c r="E3" s="378"/>
      <c r="F3" s="378"/>
      <c r="G3" s="378"/>
      <c r="H3" s="378"/>
    </row>
    <row r="4" spans="1:10">
      <c r="A4" s="73" t="s">
        <v>129</v>
      </c>
      <c r="B4" s="280"/>
      <c r="C4" s="281" t="s">
        <v>630</v>
      </c>
      <c r="D4" s="281"/>
      <c r="E4" s="281"/>
      <c r="F4" s="281"/>
      <c r="G4" s="73"/>
      <c r="H4" s="73"/>
    </row>
    <row r="5" spans="1:10">
      <c r="A5" s="73"/>
      <c r="B5" s="275"/>
      <c r="C5" s="73"/>
      <c r="D5" s="73"/>
      <c r="E5" s="73"/>
      <c r="F5" s="73"/>
      <c r="G5" s="73"/>
      <c r="H5" s="73"/>
    </row>
    <row r="6" spans="1:10">
      <c r="A6" s="73" t="s">
        <v>631</v>
      </c>
      <c r="B6" s="282">
        <v>12</v>
      </c>
      <c r="C6" s="73"/>
      <c r="D6" s="282"/>
      <c r="E6" s="282"/>
      <c r="F6" s="73"/>
      <c r="G6" s="73"/>
      <c r="H6" s="73"/>
    </row>
    <row r="7" spans="1:10">
      <c r="A7" s="73"/>
      <c r="B7" s="73"/>
      <c r="C7" s="282"/>
      <c r="D7" s="282"/>
      <c r="E7" s="282"/>
      <c r="F7" s="73"/>
      <c r="G7" s="73"/>
      <c r="H7" s="73"/>
    </row>
    <row r="8" spans="1:10">
      <c r="A8" s="76" t="s">
        <v>82</v>
      </c>
      <c r="B8" s="77" t="s">
        <v>153</v>
      </c>
      <c r="C8" s="77" t="s">
        <v>154</v>
      </c>
      <c r="D8" s="77" t="s">
        <v>155</v>
      </c>
      <c r="E8" s="77" t="s">
        <v>156</v>
      </c>
      <c r="F8" s="77" t="s">
        <v>157</v>
      </c>
      <c r="G8" s="77" t="s">
        <v>158</v>
      </c>
      <c r="H8" s="77" t="s">
        <v>159</v>
      </c>
    </row>
    <row r="9" spans="1:10">
      <c r="A9" s="78" t="s">
        <v>632</v>
      </c>
      <c r="B9" s="141">
        <v>0.8</v>
      </c>
      <c r="C9" s="141">
        <f t="shared" ref="C9:F9" si="0">B9+5%</f>
        <v>0.85000000000000009</v>
      </c>
      <c r="D9" s="141">
        <f t="shared" si="0"/>
        <v>0.90000000000000013</v>
      </c>
      <c r="E9" s="141">
        <f t="shared" si="0"/>
        <v>0.95000000000000018</v>
      </c>
      <c r="F9" s="141">
        <f t="shared" si="0"/>
        <v>1.0000000000000002</v>
      </c>
      <c r="G9" s="141">
        <f t="shared" ref="G9:H9" si="1">F9</f>
        <v>1.0000000000000002</v>
      </c>
      <c r="H9" s="141">
        <f t="shared" si="1"/>
        <v>1.0000000000000002</v>
      </c>
    </row>
    <row r="10" spans="1:10">
      <c r="A10" s="81" t="s">
        <v>633</v>
      </c>
      <c r="B10" s="238">
        <f t="shared" ref="B10:H10" si="2">$B$4*B9*$B$6</f>
        <v>0</v>
      </c>
      <c r="C10" s="238">
        <f t="shared" si="2"/>
        <v>0</v>
      </c>
      <c r="D10" s="238">
        <f t="shared" si="2"/>
        <v>0</v>
      </c>
      <c r="E10" s="238">
        <f t="shared" si="2"/>
        <v>0</v>
      </c>
      <c r="F10" s="238">
        <f t="shared" si="2"/>
        <v>0</v>
      </c>
      <c r="G10" s="238">
        <f t="shared" si="2"/>
        <v>0</v>
      </c>
      <c r="H10" s="238">
        <f t="shared" si="2"/>
        <v>0</v>
      </c>
    </row>
    <row r="15" spans="1:10" ht="18.75">
      <c r="A15" s="394" t="s">
        <v>634</v>
      </c>
      <c r="B15" s="378"/>
      <c r="C15" s="378"/>
      <c r="D15" s="378"/>
      <c r="E15" s="378"/>
      <c r="F15" s="378"/>
      <c r="G15" s="378"/>
      <c r="H15" s="378"/>
      <c r="I15" s="378"/>
      <c r="J15" s="378"/>
    </row>
    <row r="16" spans="1:10">
      <c r="A16" s="26"/>
      <c r="B16" s="26"/>
      <c r="C16" s="26"/>
      <c r="D16" s="26"/>
      <c r="E16" s="26"/>
      <c r="F16" s="26"/>
      <c r="G16" s="26"/>
      <c r="H16" s="26"/>
    </row>
    <row r="17" spans="1:10">
      <c r="A17" s="73"/>
      <c r="B17" s="73"/>
      <c r="C17" s="73"/>
      <c r="D17" s="74">
        <v>1</v>
      </c>
      <c r="E17" s="75">
        <f t="shared" ref="E17:J17" si="3">(D17*5%)+D17</f>
        <v>1.05</v>
      </c>
      <c r="F17" s="75">
        <f t="shared" si="3"/>
        <v>1.1025</v>
      </c>
      <c r="G17" s="75">
        <f t="shared" si="3"/>
        <v>1.1576250000000001</v>
      </c>
      <c r="H17" s="75">
        <f t="shared" si="3"/>
        <v>1.2155062500000002</v>
      </c>
      <c r="I17" s="75">
        <f t="shared" si="3"/>
        <v>1.2762815625000004</v>
      </c>
      <c r="J17" s="75">
        <f t="shared" si="3"/>
        <v>1.3400956406250004</v>
      </c>
    </row>
    <row r="18" spans="1:10">
      <c r="A18" s="76" t="s">
        <v>150</v>
      </c>
      <c r="B18" s="76" t="s">
        <v>121</v>
      </c>
      <c r="C18" s="76" t="s">
        <v>131</v>
      </c>
      <c r="D18" s="77" t="s">
        <v>153</v>
      </c>
      <c r="E18" s="77" t="s">
        <v>154</v>
      </c>
      <c r="F18" s="77" t="s">
        <v>155</v>
      </c>
      <c r="G18" s="77" t="s">
        <v>156</v>
      </c>
      <c r="H18" s="77" t="s">
        <v>157</v>
      </c>
      <c r="I18" s="77" t="s">
        <v>158</v>
      </c>
      <c r="J18" s="77" t="s">
        <v>159</v>
      </c>
    </row>
    <row r="19" spans="1:10">
      <c r="A19" s="78"/>
      <c r="B19" s="78"/>
      <c r="C19" s="78"/>
      <c r="D19" s="78"/>
      <c r="E19" s="78"/>
      <c r="F19" s="78"/>
      <c r="G19" s="78"/>
      <c r="H19" s="78"/>
      <c r="I19" s="78"/>
      <c r="J19" s="78"/>
    </row>
    <row r="20" spans="1:10">
      <c r="A20" s="81" t="s">
        <v>635</v>
      </c>
      <c r="B20" s="81"/>
      <c r="C20" s="81"/>
      <c r="D20" s="78"/>
      <c r="E20" s="78"/>
      <c r="F20" s="78"/>
      <c r="G20" s="78"/>
      <c r="H20" s="78"/>
      <c r="I20" s="78"/>
      <c r="J20" s="78"/>
    </row>
    <row r="21" spans="1:10" ht="15.75" customHeight="1">
      <c r="A21" s="78" t="s">
        <v>636</v>
      </c>
      <c r="B21" s="78"/>
      <c r="C21" s="79">
        <v>100</v>
      </c>
      <c r="D21" s="80">
        <f t="shared" ref="D21:J21" si="4">B10*$C$21*D17</f>
        <v>0</v>
      </c>
      <c r="E21" s="80">
        <f t="shared" si="4"/>
        <v>0</v>
      </c>
      <c r="F21" s="80">
        <f t="shared" si="4"/>
        <v>0</v>
      </c>
      <c r="G21" s="80">
        <f t="shared" si="4"/>
        <v>0</v>
      </c>
      <c r="H21" s="80">
        <f t="shared" si="4"/>
        <v>0</v>
      </c>
      <c r="I21" s="80">
        <f t="shared" si="4"/>
        <v>0</v>
      </c>
      <c r="J21" s="80">
        <f t="shared" si="4"/>
        <v>0</v>
      </c>
    </row>
    <row r="22" spans="1:10" ht="15.75" customHeight="1">
      <c r="A22" s="78"/>
      <c r="B22" s="78"/>
      <c r="C22" s="80"/>
      <c r="D22" s="80"/>
      <c r="E22" s="80"/>
      <c r="F22" s="80"/>
      <c r="G22" s="80"/>
      <c r="H22" s="80"/>
      <c r="I22" s="80"/>
      <c r="J22" s="80"/>
    </row>
    <row r="23" spans="1:10" ht="15.75" customHeight="1">
      <c r="A23" s="81" t="s">
        <v>357</v>
      </c>
      <c r="B23" s="81"/>
      <c r="C23" s="82"/>
      <c r="D23" s="80">
        <f t="shared" ref="D23:J23" si="5">SUM(D21)</f>
        <v>0</v>
      </c>
      <c r="E23" s="80">
        <f t="shared" si="5"/>
        <v>0</v>
      </c>
      <c r="F23" s="80">
        <f t="shared" si="5"/>
        <v>0</v>
      </c>
      <c r="G23" s="80">
        <f t="shared" si="5"/>
        <v>0</v>
      </c>
      <c r="H23" s="80">
        <f t="shared" si="5"/>
        <v>0</v>
      </c>
      <c r="I23" s="80">
        <f t="shared" si="5"/>
        <v>0</v>
      </c>
      <c r="J23" s="80">
        <f t="shared" si="5"/>
        <v>0</v>
      </c>
    </row>
    <row r="24" spans="1:10" ht="15.75" customHeight="1">
      <c r="A24" s="78"/>
      <c r="B24" s="78"/>
      <c r="C24" s="80"/>
      <c r="D24" s="80"/>
      <c r="E24" s="80"/>
      <c r="F24" s="80"/>
      <c r="G24" s="80"/>
      <c r="H24" s="80"/>
      <c r="I24" s="80"/>
      <c r="J24" s="80"/>
    </row>
    <row r="25" spans="1:10" ht="15.75" customHeight="1">
      <c r="A25" s="81" t="s">
        <v>590</v>
      </c>
      <c r="B25" s="81"/>
      <c r="C25" s="80"/>
      <c r="D25" s="80"/>
      <c r="E25" s="80"/>
      <c r="F25" s="80"/>
      <c r="G25" s="80"/>
      <c r="H25" s="80"/>
      <c r="I25" s="80"/>
      <c r="J25" s="80"/>
    </row>
    <row r="26" spans="1:10" ht="15.75" customHeight="1">
      <c r="A26" s="81" t="s">
        <v>358</v>
      </c>
      <c r="B26" s="81"/>
      <c r="C26" s="80"/>
      <c r="D26" s="80"/>
      <c r="E26" s="80"/>
      <c r="F26" s="80"/>
      <c r="G26" s="80"/>
      <c r="H26" s="80"/>
      <c r="I26" s="80"/>
      <c r="J26" s="80"/>
    </row>
    <row r="27" spans="1:10" ht="15.75" customHeight="1">
      <c r="A27" s="78" t="s">
        <v>637</v>
      </c>
      <c r="B27" s="50" t="s">
        <v>630</v>
      </c>
      <c r="C27" s="79">
        <v>15</v>
      </c>
      <c r="D27" s="80">
        <f t="shared" ref="D27:J27" si="6">$B$4*$C$27*D17*4</f>
        <v>0</v>
      </c>
      <c r="E27" s="80">
        <f t="shared" si="6"/>
        <v>0</v>
      </c>
      <c r="F27" s="80">
        <f t="shared" si="6"/>
        <v>0</v>
      </c>
      <c r="G27" s="80">
        <f t="shared" si="6"/>
        <v>0</v>
      </c>
      <c r="H27" s="80">
        <f t="shared" si="6"/>
        <v>0</v>
      </c>
      <c r="I27" s="80">
        <f t="shared" si="6"/>
        <v>0</v>
      </c>
      <c r="J27" s="80">
        <f t="shared" si="6"/>
        <v>0</v>
      </c>
    </row>
    <row r="28" spans="1:10" ht="15.75" customHeight="1">
      <c r="A28" s="78" t="s">
        <v>638</v>
      </c>
      <c r="B28" s="50" t="s">
        <v>630</v>
      </c>
      <c r="C28" s="79">
        <v>14</v>
      </c>
      <c r="D28" s="80">
        <f t="shared" ref="D28:J28" si="7">$B$4*$C$28*D17*12</f>
        <v>0</v>
      </c>
      <c r="E28" s="80">
        <f t="shared" si="7"/>
        <v>0</v>
      </c>
      <c r="F28" s="80">
        <f t="shared" si="7"/>
        <v>0</v>
      </c>
      <c r="G28" s="80">
        <f t="shared" si="7"/>
        <v>0</v>
      </c>
      <c r="H28" s="80">
        <f t="shared" si="7"/>
        <v>0</v>
      </c>
      <c r="I28" s="80">
        <f t="shared" si="7"/>
        <v>0</v>
      </c>
      <c r="J28" s="80">
        <f t="shared" si="7"/>
        <v>0</v>
      </c>
    </row>
    <row r="29" spans="1:10" ht="15.75" customHeight="1">
      <c r="A29" s="78" t="s">
        <v>639</v>
      </c>
      <c r="B29" s="50"/>
      <c r="C29" s="79">
        <f>B4*10</f>
        <v>0</v>
      </c>
      <c r="D29" s="80">
        <f t="shared" ref="D29:J29" si="8">$C$29*12*D17</f>
        <v>0</v>
      </c>
      <c r="E29" s="80">
        <f t="shared" si="8"/>
        <v>0</v>
      </c>
      <c r="F29" s="80">
        <f t="shared" si="8"/>
        <v>0</v>
      </c>
      <c r="G29" s="80">
        <f t="shared" si="8"/>
        <v>0</v>
      </c>
      <c r="H29" s="80">
        <f t="shared" si="8"/>
        <v>0</v>
      </c>
      <c r="I29" s="80">
        <f t="shared" si="8"/>
        <v>0</v>
      </c>
      <c r="J29" s="80">
        <f t="shared" si="8"/>
        <v>0</v>
      </c>
    </row>
    <row r="30" spans="1:10" ht="15.75" customHeight="1">
      <c r="A30" s="78"/>
      <c r="B30" s="50"/>
      <c r="C30" s="79"/>
      <c r="D30" s="80"/>
      <c r="E30" s="80"/>
      <c r="F30" s="80"/>
      <c r="G30" s="80"/>
      <c r="H30" s="80"/>
      <c r="I30" s="80"/>
      <c r="J30" s="80"/>
    </row>
    <row r="31" spans="1:10" ht="15.75" customHeight="1">
      <c r="A31" s="78"/>
      <c r="B31" s="50"/>
      <c r="C31" s="79"/>
      <c r="D31" s="80"/>
      <c r="E31" s="80"/>
      <c r="F31" s="80"/>
      <c r="G31" s="80"/>
      <c r="H31" s="80"/>
      <c r="I31" s="80"/>
      <c r="J31" s="80"/>
    </row>
    <row r="32" spans="1:10" ht="15.75" customHeight="1">
      <c r="A32" s="78"/>
      <c r="B32" s="50"/>
      <c r="C32" s="79"/>
      <c r="D32" s="80"/>
      <c r="E32" s="80"/>
      <c r="F32" s="80"/>
      <c r="G32" s="80"/>
      <c r="H32" s="80"/>
      <c r="I32" s="80"/>
      <c r="J32" s="80"/>
    </row>
    <row r="33" spans="1:10" ht="15.75" customHeight="1">
      <c r="A33" s="78"/>
      <c r="B33" s="50"/>
      <c r="C33" s="79"/>
      <c r="D33" s="80"/>
      <c r="E33" s="80"/>
      <c r="F33" s="80"/>
      <c r="G33" s="80"/>
      <c r="H33" s="80"/>
      <c r="I33" s="80"/>
      <c r="J33" s="80"/>
    </row>
    <row r="34" spans="1:10" ht="15.75" customHeight="1">
      <c r="A34" s="81" t="s">
        <v>359</v>
      </c>
      <c r="B34" s="55"/>
      <c r="C34" s="273"/>
      <c r="D34" s="82">
        <f t="shared" ref="D34:J34" si="9">SUM(D27:D33)</f>
        <v>0</v>
      </c>
      <c r="E34" s="82">
        <f t="shared" si="9"/>
        <v>0</v>
      </c>
      <c r="F34" s="82">
        <f t="shared" si="9"/>
        <v>0</v>
      </c>
      <c r="G34" s="82">
        <f t="shared" si="9"/>
        <v>0</v>
      </c>
      <c r="H34" s="82">
        <f t="shared" si="9"/>
        <v>0</v>
      </c>
      <c r="I34" s="82">
        <f t="shared" si="9"/>
        <v>0</v>
      </c>
      <c r="J34" s="82">
        <f t="shared" si="9"/>
        <v>0</v>
      </c>
    </row>
    <row r="35" spans="1:10" ht="15.75" customHeight="1">
      <c r="A35" s="81"/>
      <c r="B35" s="55"/>
      <c r="C35" s="273"/>
      <c r="D35" s="82"/>
      <c r="E35" s="82"/>
      <c r="F35" s="82"/>
      <c r="G35" s="82"/>
      <c r="H35" s="82"/>
      <c r="I35" s="82"/>
      <c r="J35" s="82"/>
    </row>
    <row r="36" spans="1:10" ht="15.75" customHeight="1">
      <c r="A36" s="81" t="s">
        <v>360</v>
      </c>
      <c r="B36" s="50"/>
      <c r="C36" s="79"/>
      <c r="D36" s="80"/>
      <c r="E36" s="80"/>
      <c r="F36" s="80"/>
      <c r="G36" s="80"/>
      <c r="H36" s="80"/>
      <c r="I36" s="80"/>
      <c r="J36" s="80"/>
    </row>
    <row r="37" spans="1:10" ht="15.75" customHeight="1">
      <c r="A37" s="78" t="s">
        <v>640</v>
      </c>
      <c r="B37" s="50">
        <v>1</v>
      </c>
      <c r="C37" s="79"/>
      <c r="D37" s="80">
        <f t="shared" ref="D37:J37" si="10">$B$37*$C$37*D17*12</f>
        <v>0</v>
      </c>
      <c r="E37" s="80">
        <f t="shared" si="10"/>
        <v>0</v>
      </c>
      <c r="F37" s="80">
        <f t="shared" si="10"/>
        <v>0</v>
      </c>
      <c r="G37" s="80">
        <f t="shared" si="10"/>
        <v>0</v>
      </c>
      <c r="H37" s="80">
        <f t="shared" si="10"/>
        <v>0</v>
      </c>
      <c r="I37" s="80">
        <f t="shared" si="10"/>
        <v>0</v>
      </c>
      <c r="J37" s="80">
        <f t="shared" si="10"/>
        <v>0</v>
      </c>
    </row>
    <row r="38" spans="1:10" ht="15.75" customHeight="1">
      <c r="A38" s="78"/>
      <c r="B38" s="50"/>
      <c r="C38" s="79"/>
      <c r="D38" s="80"/>
      <c r="E38" s="80"/>
      <c r="F38" s="80"/>
      <c r="G38" s="80"/>
      <c r="H38" s="80"/>
      <c r="I38" s="80"/>
      <c r="J38" s="80"/>
    </row>
    <row r="39" spans="1:10" ht="15.75" customHeight="1">
      <c r="A39" s="78"/>
      <c r="B39" s="50"/>
      <c r="C39" s="79"/>
      <c r="D39" s="80"/>
      <c r="E39" s="80"/>
      <c r="F39" s="80"/>
      <c r="G39" s="80"/>
      <c r="H39" s="80"/>
      <c r="I39" s="80"/>
      <c r="J39" s="80"/>
    </row>
    <row r="40" spans="1:10" ht="15.75" customHeight="1">
      <c r="A40" s="78"/>
      <c r="B40" s="50"/>
      <c r="C40" s="79"/>
      <c r="D40" s="80"/>
      <c r="E40" s="80"/>
      <c r="F40" s="80"/>
      <c r="G40" s="80"/>
      <c r="H40" s="80"/>
      <c r="I40" s="80"/>
      <c r="J40" s="80"/>
    </row>
    <row r="41" spans="1:10" ht="15.75" customHeight="1">
      <c r="A41" s="78"/>
      <c r="B41" s="50"/>
      <c r="C41" s="79"/>
      <c r="D41" s="80"/>
      <c r="E41" s="80"/>
      <c r="F41" s="80"/>
      <c r="G41" s="80"/>
      <c r="H41" s="80"/>
      <c r="I41" s="80"/>
      <c r="J41" s="80"/>
    </row>
    <row r="42" spans="1:10" ht="15.75" customHeight="1">
      <c r="A42" s="78"/>
      <c r="B42" s="50"/>
      <c r="C42" s="79"/>
      <c r="D42" s="80"/>
      <c r="E42" s="80"/>
      <c r="F42" s="80"/>
      <c r="G42" s="80"/>
      <c r="H42" s="80"/>
      <c r="I42" s="80"/>
      <c r="J42" s="80"/>
    </row>
    <row r="43" spans="1:10" ht="15.75" customHeight="1">
      <c r="A43" s="81" t="s">
        <v>362</v>
      </c>
      <c r="B43" s="81"/>
      <c r="C43" s="82"/>
      <c r="D43" s="82">
        <f t="shared" ref="D43:J43" si="11">SUM(D37:D42)</f>
        <v>0</v>
      </c>
      <c r="E43" s="82">
        <f t="shared" si="11"/>
        <v>0</v>
      </c>
      <c r="F43" s="82">
        <f t="shared" si="11"/>
        <v>0</v>
      </c>
      <c r="G43" s="82">
        <f t="shared" si="11"/>
        <v>0</v>
      </c>
      <c r="H43" s="82">
        <f t="shared" si="11"/>
        <v>0</v>
      </c>
      <c r="I43" s="82">
        <f t="shared" si="11"/>
        <v>0</v>
      </c>
      <c r="J43" s="82">
        <f t="shared" si="11"/>
        <v>0</v>
      </c>
    </row>
    <row r="44" spans="1:10" ht="15.75" customHeight="1">
      <c r="A44" s="81"/>
      <c r="B44" s="81"/>
      <c r="C44" s="82"/>
      <c r="D44" s="82"/>
      <c r="E44" s="82"/>
      <c r="F44" s="82"/>
      <c r="G44" s="82"/>
      <c r="H44" s="82"/>
      <c r="I44" s="82"/>
      <c r="J44" s="82"/>
    </row>
    <row r="45" spans="1:10" ht="15.75" customHeight="1">
      <c r="A45" s="81" t="s">
        <v>598</v>
      </c>
      <c r="B45" s="81"/>
      <c r="C45" s="82"/>
      <c r="D45" s="82">
        <f t="shared" ref="D45:J45" si="12">D34+D43</f>
        <v>0</v>
      </c>
      <c r="E45" s="82">
        <f t="shared" si="12"/>
        <v>0</v>
      </c>
      <c r="F45" s="82">
        <f t="shared" si="12"/>
        <v>0</v>
      </c>
      <c r="G45" s="82">
        <f t="shared" si="12"/>
        <v>0</v>
      </c>
      <c r="H45" s="82">
        <f t="shared" si="12"/>
        <v>0</v>
      </c>
      <c r="I45" s="82">
        <f t="shared" si="12"/>
        <v>0</v>
      </c>
      <c r="J45" s="82">
        <f t="shared" si="12"/>
        <v>0</v>
      </c>
    </row>
    <row r="46" spans="1:10" ht="15.75" customHeight="1">
      <c r="A46" s="78"/>
      <c r="B46" s="78"/>
      <c r="C46" s="80"/>
      <c r="D46" s="80"/>
      <c r="E46" s="80"/>
      <c r="F46" s="80"/>
      <c r="G46" s="80"/>
      <c r="H46" s="80"/>
      <c r="I46" s="80"/>
      <c r="J46" s="80"/>
    </row>
    <row r="47" spans="1:10" ht="15.75" customHeight="1">
      <c r="A47" s="81" t="s">
        <v>641</v>
      </c>
      <c r="B47" s="81"/>
      <c r="C47" s="82"/>
      <c r="D47" s="82">
        <f t="shared" ref="D47:J47" si="13">D23-D45</f>
        <v>0</v>
      </c>
      <c r="E47" s="82">
        <f t="shared" si="13"/>
        <v>0</v>
      </c>
      <c r="F47" s="82">
        <f t="shared" si="13"/>
        <v>0</v>
      </c>
      <c r="G47" s="82">
        <f t="shared" si="13"/>
        <v>0</v>
      </c>
      <c r="H47" s="82">
        <f t="shared" si="13"/>
        <v>0</v>
      </c>
      <c r="I47" s="82">
        <f t="shared" si="13"/>
        <v>0</v>
      </c>
      <c r="J47" s="82">
        <f t="shared" si="13"/>
        <v>0</v>
      </c>
    </row>
    <row r="48" spans="1:10" ht="15.75" customHeight="1">
      <c r="A48" s="73"/>
      <c r="B48" s="73"/>
      <c r="C48" s="73"/>
      <c r="D48" s="73"/>
      <c r="E48" s="73"/>
      <c r="F48" s="73"/>
      <c r="G48" s="73"/>
      <c r="H48" s="73"/>
      <c r="I48" s="73"/>
      <c r="J48" s="73"/>
    </row>
    <row r="49" spans="1:10" ht="15.75" customHeight="1">
      <c r="A49" s="73"/>
    </row>
    <row r="50" spans="1:10" ht="15.75" customHeight="1"/>
    <row r="51" spans="1:10" ht="15.75" customHeight="1">
      <c r="A51" s="396" t="s">
        <v>627</v>
      </c>
      <c r="B51" s="378"/>
      <c r="C51" s="378"/>
      <c r="D51" s="378"/>
      <c r="E51" s="378"/>
      <c r="F51" s="378"/>
      <c r="G51" s="378"/>
      <c r="H51" s="378"/>
      <c r="I51" s="378"/>
      <c r="J51" s="378"/>
    </row>
    <row r="52" spans="1:10" ht="15.75" customHeight="1"/>
    <row r="53" spans="1:10" ht="15.75" customHeight="1">
      <c r="A53" t="s">
        <v>314</v>
      </c>
    </row>
    <row r="54" spans="1:10" ht="15.75" customHeight="1">
      <c r="A54">
        <v>1</v>
      </c>
      <c r="B54" t="s">
        <v>602</v>
      </c>
    </row>
    <row r="55" spans="1:10" ht="15.75" customHeight="1">
      <c r="A55">
        <v>2</v>
      </c>
      <c r="B55" t="s">
        <v>603</v>
      </c>
    </row>
    <row r="56" spans="1:10" ht="15.75" customHeight="1">
      <c r="A56">
        <v>3</v>
      </c>
      <c r="B56" s="73" t="s">
        <v>604</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ageMargins left="0.7" right="0.7" top="0.75" bottom="0.75" header="0" footer="0"/>
  <pageSetup paperSize="9" orientation="portrait" r:id="rId1"/>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0"/>
  <sheetViews>
    <sheetView workbookViewId="0"/>
  </sheetViews>
  <sheetFormatPr defaultColWidth="14.42578125" defaultRowHeight="15" customHeight="1"/>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3" spans="1:13" ht="18.75">
      <c r="A3" s="394" t="s">
        <v>642</v>
      </c>
      <c r="B3" s="378"/>
      <c r="C3" s="378"/>
      <c r="D3" s="378"/>
      <c r="E3" s="378"/>
      <c r="F3" s="378"/>
      <c r="G3" s="378"/>
      <c r="H3" s="378"/>
      <c r="I3" s="378"/>
      <c r="J3" s="378"/>
      <c r="K3" s="378"/>
      <c r="L3" s="378"/>
    </row>
    <row r="4" spans="1:13" ht="18.75">
      <c r="A4" s="394" t="s">
        <v>643</v>
      </c>
      <c r="B4" s="378"/>
      <c r="C4" s="378"/>
      <c r="D4" s="378"/>
      <c r="E4" s="378"/>
      <c r="F4" s="378"/>
      <c r="G4" s="378"/>
      <c r="H4" s="378"/>
      <c r="I4" s="378"/>
      <c r="J4" s="378"/>
      <c r="K4" s="378"/>
      <c r="L4" s="378"/>
    </row>
    <row r="5" spans="1:13">
      <c r="A5" s="73"/>
      <c r="B5" s="73"/>
      <c r="C5" s="73"/>
    </row>
    <row r="6" spans="1:13">
      <c r="A6" s="73"/>
      <c r="B6" s="73"/>
      <c r="C6" s="73"/>
    </row>
    <row r="7" spans="1:13" ht="45">
      <c r="A7" s="242" t="s">
        <v>81</v>
      </c>
      <c r="B7" s="251" t="s">
        <v>644</v>
      </c>
      <c r="C7" s="251" t="s">
        <v>645</v>
      </c>
      <c r="D7" s="251" t="s">
        <v>646</v>
      </c>
      <c r="E7" s="251" t="s">
        <v>647</v>
      </c>
      <c r="F7" s="251" t="s">
        <v>648</v>
      </c>
      <c r="G7" s="251" t="s">
        <v>649</v>
      </c>
      <c r="H7" s="251" t="s">
        <v>650</v>
      </c>
      <c r="I7" s="251" t="s">
        <v>651</v>
      </c>
      <c r="J7" s="283" t="s">
        <v>652</v>
      </c>
      <c r="K7" s="251" t="s">
        <v>653</v>
      </c>
      <c r="L7" s="283" t="s">
        <v>654</v>
      </c>
      <c r="M7" s="251" t="s">
        <v>655</v>
      </c>
    </row>
    <row r="8" spans="1:13">
      <c r="A8" s="284">
        <v>1</v>
      </c>
      <c r="B8" s="245" t="s">
        <v>656</v>
      </c>
      <c r="C8" s="245"/>
      <c r="D8" s="245"/>
      <c r="E8" s="245">
        <v>6</v>
      </c>
      <c r="F8" s="140">
        <f t="shared" ref="F8:F17" si="0">D8*E8*C8</f>
        <v>0</v>
      </c>
      <c r="G8" s="245">
        <v>4</v>
      </c>
      <c r="H8" s="140">
        <f t="shared" ref="H8:H12" si="1">F8/G8</f>
        <v>0</v>
      </c>
      <c r="I8" s="245">
        <v>12</v>
      </c>
      <c r="J8" s="140">
        <f t="shared" ref="J8:J17" si="2">H8*I8</f>
        <v>0</v>
      </c>
      <c r="K8" s="245">
        <v>3000</v>
      </c>
      <c r="L8" s="245">
        <v>1</v>
      </c>
      <c r="M8" s="140">
        <f t="shared" ref="M8:M17" si="3">D8*L8</f>
        <v>0</v>
      </c>
    </row>
    <row r="9" spans="1:13">
      <c r="A9" s="284">
        <v>2</v>
      </c>
      <c r="B9" s="245" t="s">
        <v>657</v>
      </c>
      <c r="C9" s="245"/>
      <c r="D9" s="245"/>
      <c r="E9" s="245">
        <v>6</v>
      </c>
      <c r="F9" s="140">
        <f t="shared" si="0"/>
        <v>0</v>
      </c>
      <c r="G9" s="245">
        <v>2</v>
      </c>
      <c r="H9" s="140">
        <f t="shared" si="1"/>
        <v>0</v>
      </c>
      <c r="I9" s="245">
        <v>8</v>
      </c>
      <c r="J9" s="140">
        <f t="shared" si="2"/>
        <v>0</v>
      </c>
      <c r="K9" s="245">
        <v>1800</v>
      </c>
      <c r="L9" s="245">
        <v>1</v>
      </c>
      <c r="M9" s="140">
        <f t="shared" si="3"/>
        <v>0</v>
      </c>
    </row>
    <row r="10" spans="1:13">
      <c r="A10" s="284">
        <v>3</v>
      </c>
      <c r="B10" s="245" t="s">
        <v>658</v>
      </c>
      <c r="C10" s="245"/>
      <c r="D10" s="245"/>
      <c r="E10" s="245">
        <v>6</v>
      </c>
      <c r="F10" s="140">
        <f t="shared" si="0"/>
        <v>0</v>
      </c>
      <c r="G10" s="245">
        <v>2</v>
      </c>
      <c r="H10" s="140">
        <f t="shared" si="1"/>
        <v>0</v>
      </c>
      <c r="I10" s="245">
        <v>8</v>
      </c>
      <c r="J10" s="140">
        <f t="shared" si="2"/>
        <v>0</v>
      </c>
      <c r="K10" s="245">
        <v>1800</v>
      </c>
      <c r="L10" s="245">
        <v>1</v>
      </c>
      <c r="M10" s="140">
        <f t="shared" si="3"/>
        <v>0</v>
      </c>
    </row>
    <row r="11" spans="1:13">
      <c r="A11" s="284">
        <v>4</v>
      </c>
      <c r="B11" s="245" t="s">
        <v>659</v>
      </c>
      <c r="C11" s="245"/>
      <c r="D11" s="245"/>
      <c r="E11" s="245">
        <v>6</v>
      </c>
      <c r="F11" s="140">
        <f t="shared" si="0"/>
        <v>0</v>
      </c>
      <c r="G11" s="245">
        <v>2</v>
      </c>
      <c r="H11" s="140">
        <f t="shared" si="1"/>
        <v>0</v>
      </c>
      <c r="I11" s="245">
        <v>4</v>
      </c>
      <c r="J11" s="140">
        <f t="shared" si="2"/>
        <v>0</v>
      </c>
      <c r="K11" s="245">
        <v>1200</v>
      </c>
      <c r="L11" s="245">
        <v>1</v>
      </c>
      <c r="M11" s="140">
        <f t="shared" si="3"/>
        <v>0</v>
      </c>
    </row>
    <row r="12" spans="1:13">
      <c r="A12" s="284">
        <v>5</v>
      </c>
      <c r="B12" s="245" t="s">
        <v>660</v>
      </c>
      <c r="C12" s="245"/>
      <c r="D12" s="245"/>
      <c r="E12" s="245">
        <v>6</v>
      </c>
      <c r="F12" s="140">
        <f t="shared" si="0"/>
        <v>0</v>
      </c>
      <c r="G12" s="245">
        <v>2</v>
      </c>
      <c r="H12" s="140">
        <f t="shared" si="1"/>
        <v>0</v>
      </c>
      <c r="I12" s="245">
        <v>10</v>
      </c>
      <c r="J12" s="140">
        <f t="shared" si="2"/>
        <v>0</v>
      </c>
      <c r="K12" s="245">
        <v>3000</v>
      </c>
      <c r="L12" s="245">
        <v>1</v>
      </c>
      <c r="M12" s="140">
        <f t="shared" si="3"/>
        <v>0</v>
      </c>
    </row>
    <row r="13" spans="1:13">
      <c r="A13" s="284">
        <v>6</v>
      </c>
      <c r="B13" s="140"/>
      <c r="C13" s="140"/>
      <c r="D13" s="140"/>
      <c r="E13" s="140"/>
      <c r="F13" s="140">
        <f t="shared" si="0"/>
        <v>0</v>
      </c>
      <c r="G13" s="140">
        <v>0</v>
      </c>
      <c r="H13" s="245"/>
      <c r="I13" s="140"/>
      <c r="J13" s="140">
        <f t="shared" si="2"/>
        <v>0</v>
      </c>
      <c r="K13" s="140"/>
      <c r="L13" s="140"/>
      <c r="M13" s="140">
        <f t="shared" si="3"/>
        <v>0</v>
      </c>
    </row>
    <row r="14" spans="1:13">
      <c r="A14" s="284">
        <v>7</v>
      </c>
      <c r="B14" s="140"/>
      <c r="C14" s="140"/>
      <c r="D14" s="140"/>
      <c r="E14" s="140"/>
      <c r="F14" s="140">
        <f t="shared" si="0"/>
        <v>0</v>
      </c>
      <c r="G14" s="140">
        <v>0</v>
      </c>
      <c r="H14" s="245"/>
      <c r="I14" s="140"/>
      <c r="J14" s="140">
        <f t="shared" si="2"/>
        <v>0</v>
      </c>
      <c r="K14" s="140"/>
      <c r="L14" s="140"/>
      <c r="M14" s="140">
        <f t="shared" si="3"/>
        <v>0</v>
      </c>
    </row>
    <row r="15" spans="1:13">
      <c r="A15" s="284">
        <v>8</v>
      </c>
      <c r="B15" s="140"/>
      <c r="C15" s="140"/>
      <c r="D15" s="140"/>
      <c r="E15" s="140"/>
      <c r="F15" s="140">
        <f t="shared" si="0"/>
        <v>0</v>
      </c>
      <c r="G15" s="140">
        <v>0</v>
      </c>
      <c r="H15" s="245"/>
      <c r="I15" s="140"/>
      <c r="J15" s="140">
        <f t="shared" si="2"/>
        <v>0</v>
      </c>
      <c r="K15" s="140"/>
      <c r="L15" s="140"/>
      <c r="M15" s="140">
        <f t="shared" si="3"/>
        <v>0</v>
      </c>
    </row>
    <row r="16" spans="1:13">
      <c r="A16" s="284">
        <v>9</v>
      </c>
      <c r="B16" s="140"/>
      <c r="C16" s="140"/>
      <c r="D16" s="140"/>
      <c r="E16" s="140"/>
      <c r="F16" s="140">
        <f t="shared" si="0"/>
        <v>0</v>
      </c>
      <c r="G16" s="140">
        <v>0</v>
      </c>
      <c r="H16" s="245"/>
      <c r="I16" s="140"/>
      <c r="J16" s="140">
        <f t="shared" si="2"/>
        <v>0</v>
      </c>
      <c r="K16" s="140"/>
      <c r="L16" s="140"/>
      <c r="M16" s="140">
        <f t="shared" si="3"/>
        <v>0</v>
      </c>
    </row>
    <row r="17" spans="1:16">
      <c r="A17" s="284">
        <v>10</v>
      </c>
      <c r="B17" s="140"/>
      <c r="C17" s="140"/>
      <c r="D17" s="140"/>
      <c r="E17" s="140"/>
      <c r="F17" s="140">
        <f t="shared" si="0"/>
        <v>0</v>
      </c>
      <c r="G17" s="140">
        <v>0</v>
      </c>
      <c r="H17" s="245"/>
      <c r="I17" s="140"/>
      <c r="J17" s="140">
        <f t="shared" si="2"/>
        <v>0</v>
      </c>
      <c r="K17" s="140"/>
      <c r="L17" s="140"/>
      <c r="M17" s="140">
        <f t="shared" si="3"/>
        <v>0</v>
      </c>
    </row>
    <row r="18" spans="1:16">
      <c r="A18" s="48"/>
      <c r="B18" s="48"/>
      <c r="C18" s="84"/>
      <c r="D18" s="84"/>
      <c r="E18" s="84"/>
      <c r="F18" s="84"/>
      <c r="G18" s="84"/>
      <c r="H18" s="84"/>
      <c r="I18" s="84"/>
      <c r="J18" s="84"/>
      <c r="K18" s="84"/>
      <c r="L18" s="84"/>
      <c r="M18" s="84"/>
    </row>
    <row r="19" spans="1:16">
      <c r="A19" s="48"/>
      <c r="B19" s="48"/>
      <c r="C19" s="84"/>
      <c r="D19" s="84"/>
      <c r="E19" s="84"/>
      <c r="F19" s="84"/>
      <c r="G19" s="84"/>
      <c r="H19" s="84"/>
      <c r="I19" s="84"/>
      <c r="J19" s="84"/>
      <c r="K19" s="84"/>
      <c r="L19" s="84"/>
      <c r="M19" s="84"/>
    </row>
    <row r="21" spans="1:16" ht="15.75" customHeight="1">
      <c r="A21" s="394" t="s">
        <v>661</v>
      </c>
      <c r="B21" s="378"/>
      <c r="C21" s="378"/>
      <c r="D21" s="378"/>
      <c r="E21" s="378"/>
      <c r="F21" s="378"/>
      <c r="G21" s="378"/>
      <c r="H21" s="378"/>
      <c r="I21" s="378"/>
      <c r="J21" s="378"/>
      <c r="K21" s="378"/>
    </row>
    <row r="22" spans="1:16" ht="15.75" customHeight="1"/>
    <row r="23" spans="1:16" ht="15.75" customHeight="1">
      <c r="A23" s="73"/>
      <c r="B23" s="73"/>
      <c r="C23" s="73"/>
      <c r="D23" s="73"/>
      <c r="E23" s="74">
        <v>1</v>
      </c>
      <c r="F23" s="75">
        <f t="shared" ref="F23:K23" si="4">(E23*5%)+E23</f>
        <v>1.05</v>
      </c>
      <c r="G23" s="75">
        <f t="shared" si="4"/>
        <v>1.1025</v>
      </c>
      <c r="H23" s="75">
        <f t="shared" si="4"/>
        <v>1.1576250000000001</v>
      </c>
      <c r="I23" s="75">
        <f t="shared" si="4"/>
        <v>1.2155062500000002</v>
      </c>
      <c r="J23" s="75">
        <f t="shared" si="4"/>
        <v>1.2762815625000004</v>
      </c>
      <c r="K23" s="75">
        <f t="shared" si="4"/>
        <v>1.3400956406250004</v>
      </c>
    </row>
    <row r="24" spans="1:16" ht="15.75" customHeight="1">
      <c r="A24" s="76" t="s">
        <v>150</v>
      </c>
      <c r="B24" s="76" t="s">
        <v>121</v>
      </c>
      <c r="C24" s="76" t="s">
        <v>122</v>
      </c>
      <c r="D24" s="76" t="s">
        <v>131</v>
      </c>
      <c r="E24" s="77" t="s">
        <v>153</v>
      </c>
      <c r="F24" s="77" t="s">
        <v>154</v>
      </c>
      <c r="G24" s="77" t="s">
        <v>155</v>
      </c>
      <c r="H24" s="77" t="s">
        <v>156</v>
      </c>
      <c r="I24" s="77" t="s">
        <v>157</v>
      </c>
      <c r="J24" s="77" t="s">
        <v>158</v>
      </c>
      <c r="K24" s="77" t="s">
        <v>159</v>
      </c>
    </row>
    <row r="25" spans="1:16" ht="15.75" customHeight="1">
      <c r="A25" s="81"/>
      <c r="B25" s="81"/>
      <c r="C25" s="81"/>
      <c r="D25" s="81"/>
      <c r="E25" s="78"/>
      <c r="F25" s="78"/>
      <c r="G25" s="78"/>
      <c r="H25" s="78"/>
      <c r="I25" s="78"/>
      <c r="J25" s="78"/>
      <c r="K25" s="78"/>
    </row>
    <row r="26" spans="1:16" ht="15.75" customHeight="1">
      <c r="A26" s="81" t="s">
        <v>350</v>
      </c>
      <c r="B26" s="81"/>
      <c r="C26" s="81"/>
      <c r="D26" s="81"/>
      <c r="E26" s="78"/>
      <c r="F26" s="78"/>
      <c r="G26" s="78"/>
      <c r="H26" s="78"/>
      <c r="I26" s="78"/>
      <c r="J26" s="78"/>
      <c r="K26" s="78"/>
      <c r="P26" s="73"/>
    </row>
    <row r="27" spans="1:16" ht="15.75" customHeight="1">
      <c r="A27" s="193" t="s">
        <v>662</v>
      </c>
      <c r="B27" s="197"/>
      <c r="C27" s="197"/>
      <c r="D27" s="197"/>
      <c r="E27" s="80"/>
      <c r="F27" s="80"/>
      <c r="G27" s="80"/>
      <c r="H27" s="80"/>
      <c r="I27" s="80"/>
      <c r="J27" s="80"/>
      <c r="K27" s="80"/>
      <c r="P27" s="73"/>
    </row>
    <row r="28" spans="1:16" ht="15.75" customHeight="1">
      <c r="A28" s="197" t="str">
        <f t="shared" ref="A28:A32" si="5">B8</f>
        <v>Double Plough</v>
      </c>
      <c r="B28" s="197"/>
      <c r="C28" s="197">
        <f t="shared" ref="C28:C38" si="6">H8</f>
        <v>0</v>
      </c>
      <c r="D28" s="197">
        <f t="shared" ref="D28:D38" si="7">K8</f>
        <v>3000</v>
      </c>
      <c r="E28" s="80">
        <f t="shared" ref="E28:K28" si="8">$C$28*$D$28*E23</f>
        <v>0</v>
      </c>
      <c r="F28" s="80">
        <f t="shared" si="8"/>
        <v>0</v>
      </c>
      <c r="G28" s="80">
        <f t="shared" si="8"/>
        <v>0</v>
      </c>
      <c r="H28" s="80">
        <f t="shared" si="8"/>
        <v>0</v>
      </c>
      <c r="I28" s="80">
        <f t="shared" si="8"/>
        <v>0</v>
      </c>
      <c r="J28" s="80">
        <f t="shared" si="8"/>
        <v>0</v>
      </c>
      <c r="K28" s="80">
        <f t="shared" si="8"/>
        <v>0</v>
      </c>
      <c r="P28" s="73"/>
    </row>
    <row r="29" spans="1:16" ht="15.75" customHeight="1">
      <c r="A29" s="197" t="str">
        <f t="shared" si="5"/>
        <v>Cultivator</v>
      </c>
      <c r="B29" s="197"/>
      <c r="C29" s="197">
        <f t="shared" si="6"/>
        <v>0</v>
      </c>
      <c r="D29" s="197">
        <f t="shared" si="7"/>
        <v>1800</v>
      </c>
      <c r="E29" s="80">
        <f t="shared" ref="E29:K29" si="9">$C$29*$D$29*E23</f>
        <v>0</v>
      </c>
      <c r="F29" s="80">
        <f t="shared" si="9"/>
        <v>0</v>
      </c>
      <c r="G29" s="80">
        <f t="shared" si="9"/>
        <v>0</v>
      </c>
      <c r="H29" s="80">
        <f t="shared" si="9"/>
        <v>0</v>
      </c>
      <c r="I29" s="80">
        <f t="shared" si="9"/>
        <v>0</v>
      </c>
      <c r="J29" s="80">
        <f t="shared" si="9"/>
        <v>0</v>
      </c>
      <c r="K29" s="80">
        <f t="shared" si="9"/>
        <v>0</v>
      </c>
      <c r="P29" s="73"/>
    </row>
    <row r="30" spans="1:16" ht="15.75" customHeight="1">
      <c r="A30" s="197" t="str">
        <f t="shared" si="5"/>
        <v>Rotavator</v>
      </c>
      <c r="B30" s="197"/>
      <c r="C30" s="197">
        <f t="shared" si="6"/>
        <v>0</v>
      </c>
      <c r="D30" s="197">
        <f t="shared" si="7"/>
        <v>1800</v>
      </c>
      <c r="E30" s="80">
        <f t="shared" ref="E30:K30" si="10">$C$30*$D$30*E23</f>
        <v>0</v>
      </c>
      <c r="F30" s="80">
        <f t="shared" si="10"/>
        <v>0</v>
      </c>
      <c r="G30" s="80">
        <f t="shared" si="10"/>
        <v>0</v>
      </c>
      <c r="H30" s="80">
        <f t="shared" si="10"/>
        <v>0</v>
      </c>
      <c r="I30" s="80">
        <f t="shared" si="10"/>
        <v>0</v>
      </c>
      <c r="J30" s="80">
        <f t="shared" si="10"/>
        <v>0</v>
      </c>
      <c r="K30" s="80">
        <f t="shared" si="10"/>
        <v>0</v>
      </c>
      <c r="P30" s="73"/>
    </row>
    <row r="31" spans="1:16" ht="15.75" customHeight="1">
      <c r="A31" s="197" t="str">
        <f t="shared" si="5"/>
        <v>BBF Seed Sowing Machine</v>
      </c>
      <c r="B31" s="197"/>
      <c r="C31" s="197">
        <f t="shared" si="6"/>
        <v>0</v>
      </c>
      <c r="D31" s="197">
        <f t="shared" si="7"/>
        <v>1200</v>
      </c>
      <c r="E31" s="80">
        <f t="shared" ref="E31:K31" si="11">$C$31*$D$31*E23</f>
        <v>0</v>
      </c>
      <c r="F31" s="80">
        <f t="shared" si="11"/>
        <v>0</v>
      </c>
      <c r="G31" s="80">
        <f t="shared" si="11"/>
        <v>0</v>
      </c>
      <c r="H31" s="80">
        <f t="shared" si="11"/>
        <v>0</v>
      </c>
      <c r="I31" s="80">
        <f t="shared" si="11"/>
        <v>0</v>
      </c>
      <c r="J31" s="80">
        <f t="shared" si="11"/>
        <v>0</v>
      </c>
      <c r="K31" s="80">
        <f t="shared" si="11"/>
        <v>0</v>
      </c>
      <c r="P31" s="73"/>
    </row>
    <row r="32" spans="1:16" ht="15.75" customHeight="1">
      <c r="A32" s="197" t="str">
        <f t="shared" si="5"/>
        <v>Mobile Threshing</v>
      </c>
      <c r="B32" s="197"/>
      <c r="C32" s="197">
        <f t="shared" si="6"/>
        <v>0</v>
      </c>
      <c r="D32" s="197">
        <f t="shared" si="7"/>
        <v>3000</v>
      </c>
      <c r="E32" s="80">
        <f t="shared" ref="E32:K32" si="12">$C$32*$D$32*E23</f>
        <v>0</v>
      </c>
      <c r="F32" s="80">
        <f t="shared" si="12"/>
        <v>0</v>
      </c>
      <c r="G32" s="80">
        <f t="shared" si="12"/>
        <v>0</v>
      </c>
      <c r="H32" s="80">
        <f t="shared" si="12"/>
        <v>0</v>
      </c>
      <c r="I32" s="80">
        <f t="shared" si="12"/>
        <v>0</v>
      </c>
      <c r="J32" s="80">
        <f t="shared" si="12"/>
        <v>0</v>
      </c>
      <c r="K32" s="80">
        <f t="shared" si="12"/>
        <v>0</v>
      </c>
      <c r="P32" s="73"/>
    </row>
    <row r="33" spans="1:16" ht="15.75" customHeight="1">
      <c r="A33" s="197"/>
      <c r="B33" s="197"/>
      <c r="C33" s="197">
        <f t="shared" si="6"/>
        <v>0</v>
      </c>
      <c r="D33" s="197">
        <f t="shared" si="7"/>
        <v>0</v>
      </c>
      <c r="E33" s="80">
        <f t="shared" ref="E33:K33" si="13">$C$33*$D$33*E23</f>
        <v>0</v>
      </c>
      <c r="F33" s="80">
        <f t="shared" si="13"/>
        <v>0</v>
      </c>
      <c r="G33" s="80">
        <f t="shared" si="13"/>
        <v>0</v>
      </c>
      <c r="H33" s="80">
        <f t="shared" si="13"/>
        <v>0</v>
      </c>
      <c r="I33" s="80">
        <f t="shared" si="13"/>
        <v>0</v>
      </c>
      <c r="J33" s="80">
        <f t="shared" si="13"/>
        <v>0</v>
      </c>
      <c r="K33" s="80">
        <f t="shared" si="13"/>
        <v>0</v>
      </c>
      <c r="P33" s="73"/>
    </row>
    <row r="34" spans="1:16" ht="15.75" customHeight="1">
      <c r="A34" s="197"/>
      <c r="B34" s="197"/>
      <c r="C34" s="197">
        <f t="shared" si="6"/>
        <v>0</v>
      </c>
      <c r="D34" s="197">
        <f t="shared" si="7"/>
        <v>0</v>
      </c>
      <c r="E34" s="80">
        <f t="shared" ref="E34:K34" si="14">$C$34*$D$34*E23</f>
        <v>0</v>
      </c>
      <c r="F34" s="80">
        <f t="shared" si="14"/>
        <v>0</v>
      </c>
      <c r="G34" s="80">
        <f t="shared" si="14"/>
        <v>0</v>
      </c>
      <c r="H34" s="80">
        <f t="shared" si="14"/>
        <v>0</v>
      </c>
      <c r="I34" s="80">
        <f t="shared" si="14"/>
        <v>0</v>
      </c>
      <c r="J34" s="80">
        <f t="shared" si="14"/>
        <v>0</v>
      </c>
      <c r="K34" s="80">
        <f t="shared" si="14"/>
        <v>0</v>
      </c>
      <c r="P34" s="73"/>
    </row>
    <row r="35" spans="1:16" ht="15.75" customHeight="1">
      <c r="A35" s="197"/>
      <c r="B35" s="197"/>
      <c r="C35" s="197">
        <f t="shared" si="6"/>
        <v>0</v>
      </c>
      <c r="D35" s="197">
        <f t="shared" si="7"/>
        <v>0</v>
      </c>
      <c r="E35" s="80">
        <f t="shared" ref="E35:K35" si="15">$C$35*$D$35*E23</f>
        <v>0</v>
      </c>
      <c r="F35" s="80">
        <f t="shared" si="15"/>
        <v>0</v>
      </c>
      <c r="G35" s="80">
        <f t="shared" si="15"/>
        <v>0</v>
      </c>
      <c r="H35" s="80">
        <f t="shared" si="15"/>
        <v>0</v>
      </c>
      <c r="I35" s="80">
        <f t="shared" si="15"/>
        <v>0</v>
      </c>
      <c r="J35" s="80">
        <f t="shared" si="15"/>
        <v>0</v>
      </c>
      <c r="K35" s="80">
        <f t="shared" si="15"/>
        <v>0</v>
      </c>
      <c r="P35" s="73"/>
    </row>
    <row r="36" spans="1:16" ht="15.75" customHeight="1">
      <c r="A36" s="197"/>
      <c r="B36" s="197"/>
      <c r="C36" s="197">
        <f t="shared" si="6"/>
        <v>0</v>
      </c>
      <c r="D36" s="197">
        <f t="shared" si="7"/>
        <v>0</v>
      </c>
      <c r="E36" s="80">
        <f t="shared" ref="E36:K36" si="16">$C$36*$D$36*E23</f>
        <v>0</v>
      </c>
      <c r="F36" s="80">
        <f t="shared" si="16"/>
        <v>0</v>
      </c>
      <c r="G36" s="80">
        <f t="shared" si="16"/>
        <v>0</v>
      </c>
      <c r="H36" s="80">
        <f t="shared" si="16"/>
        <v>0</v>
      </c>
      <c r="I36" s="80">
        <f t="shared" si="16"/>
        <v>0</v>
      </c>
      <c r="J36" s="80">
        <f t="shared" si="16"/>
        <v>0</v>
      </c>
      <c r="K36" s="80">
        <f t="shared" si="16"/>
        <v>0</v>
      </c>
      <c r="P36" s="73"/>
    </row>
    <row r="37" spans="1:16" ht="15.75" customHeight="1">
      <c r="A37" s="197"/>
      <c r="B37" s="197"/>
      <c r="C37" s="197">
        <f t="shared" si="6"/>
        <v>0</v>
      </c>
      <c r="D37" s="197">
        <f t="shared" si="7"/>
        <v>0</v>
      </c>
      <c r="E37" s="80">
        <f t="shared" ref="E37:K37" si="17">$C$37*$D$37*E23</f>
        <v>0</v>
      </c>
      <c r="F37" s="80">
        <f t="shared" si="17"/>
        <v>0</v>
      </c>
      <c r="G37" s="80">
        <f t="shared" si="17"/>
        <v>0</v>
      </c>
      <c r="H37" s="80">
        <f t="shared" si="17"/>
        <v>0</v>
      </c>
      <c r="I37" s="80">
        <f t="shared" si="17"/>
        <v>0</v>
      </c>
      <c r="J37" s="80">
        <f t="shared" si="17"/>
        <v>0</v>
      </c>
      <c r="K37" s="80">
        <f t="shared" si="17"/>
        <v>0</v>
      </c>
      <c r="P37" s="73"/>
    </row>
    <row r="38" spans="1:16" ht="15.75" customHeight="1">
      <c r="A38" s="81"/>
      <c r="B38" s="81"/>
      <c r="C38" s="197">
        <f t="shared" si="6"/>
        <v>0</v>
      </c>
      <c r="D38" s="197">
        <f t="shared" si="7"/>
        <v>0</v>
      </c>
      <c r="E38" s="80">
        <f t="shared" ref="E38:K38" si="18">$C$38*$D$38*E23</f>
        <v>0</v>
      </c>
      <c r="F38" s="80">
        <f t="shared" si="18"/>
        <v>0</v>
      </c>
      <c r="G38" s="80">
        <f t="shared" si="18"/>
        <v>0</v>
      </c>
      <c r="H38" s="80">
        <f t="shared" si="18"/>
        <v>0</v>
      </c>
      <c r="I38" s="80">
        <f t="shared" si="18"/>
        <v>0</v>
      </c>
      <c r="J38" s="80">
        <f t="shared" si="18"/>
        <v>0</v>
      </c>
      <c r="K38" s="80">
        <f t="shared" si="18"/>
        <v>0</v>
      </c>
      <c r="P38" s="73"/>
    </row>
    <row r="39" spans="1:16" ht="15.75" customHeight="1">
      <c r="A39" s="81" t="s">
        <v>357</v>
      </c>
      <c r="B39" s="81"/>
      <c r="C39" s="81"/>
      <c r="D39" s="81"/>
      <c r="E39" s="80">
        <f t="shared" ref="E39:K39" si="19">SUM(E28:E38)</f>
        <v>0</v>
      </c>
      <c r="F39" s="80">
        <f t="shared" si="19"/>
        <v>0</v>
      </c>
      <c r="G39" s="80">
        <f t="shared" si="19"/>
        <v>0</v>
      </c>
      <c r="H39" s="80">
        <f t="shared" si="19"/>
        <v>0</v>
      </c>
      <c r="I39" s="80">
        <f t="shared" si="19"/>
        <v>0</v>
      </c>
      <c r="J39" s="80">
        <f t="shared" si="19"/>
        <v>0</v>
      </c>
      <c r="K39" s="80">
        <f t="shared" si="19"/>
        <v>0</v>
      </c>
      <c r="P39" s="73"/>
    </row>
    <row r="40" spans="1:16" ht="15.75" customHeight="1">
      <c r="A40" s="78"/>
      <c r="B40" s="78"/>
      <c r="C40" s="78"/>
      <c r="D40" s="78"/>
      <c r="E40" s="80"/>
      <c r="F40" s="80"/>
      <c r="G40" s="80"/>
      <c r="H40" s="80"/>
      <c r="I40" s="80"/>
      <c r="J40" s="80"/>
      <c r="K40" s="80"/>
      <c r="P40" s="73"/>
    </row>
    <row r="41" spans="1:16" ht="15.75" customHeight="1">
      <c r="A41" s="81" t="s">
        <v>590</v>
      </c>
      <c r="B41" s="81"/>
      <c r="C41" s="81"/>
      <c r="D41" s="81"/>
      <c r="E41" s="80"/>
      <c r="F41" s="80"/>
      <c r="G41" s="80"/>
      <c r="H41" s="80"/>
      <c r="I41" s="80"/>
      <c r="J41" s="80"/>
      <c r="K41" s="80"/>
      <c r="P41" s="73"/>
    </row>
    <row r="42" spans="1:16" ht="15.75" customHeight="1">
      <c r="A42" s="81" t="s">
        <v>663</v>
      </c>
      <c r="B42" s="81"/>
      <c r="C42" s="81"/>
      <c r="D42" s="81"/>
      <c r="E42" s="80"/>
      <c r="F42" s="80"/>
      <c r="G42" s="80"/>
      <c r="H42" s="80"/>
      <c r="I42" s="80"/>
      <c r="J42" s="80"/>
      <c r="K42" s="80"/>
    </row>
    <row r="43" spans="1:16" ht="15.75" customHeight="1">
      <c r="A43" s="78" t="s">
        <v>664</v>
      </c>
      <c r="B43" s="78" t="s">
        <v>665</v>
      </c>
      <c r="C43" s="78">
        <f>SUM(J8:J17)</f>
        <v>0</v>
      </c>
      <c r="D43" s="50">
        <v>100</v>
      </c>
      <c r="E43" s="80">
        <f t="shared" ref="E43:K43" si="20">$C$43*$D$43*E23</f>
        <v>0</v>
      </c>
      <c r="F43" s="80">
        <f t="shared" si="20"/>
        <v>0</v>
      </c>
      <c r="G43" s="80">
        <f t="shared" si="20"/>
        <v>0</v>
      </c>
      <c r="H43" s="80">
        <f t="shared" si="20"/>
        <v>0</v>
      </c>
      <c r="I43" s="80">
        <f t="shared" si="20"/>
        <v>0</v>
      </c>
      <c r="J43" s="80">
        <f t="shared" si="20"/>
        <v>0</v>
      </c>
      <c r="K43" s="80">
        <f t="shared" si="20"/>
        <v>0</v>
      </c>
    </row>
    <row r="44" spans="1:16" ht="15.75" customHeight="1">
      <c r="A44" s="78" t="s">
        <v>666</v>
      </c>
      <c r="B44" s="78" t="s">
        <v>667</v>
      </c>
      <c r="C44" s="78">
        <f>SUM(M8:M17)</f>
        <v>0</v>
      </c>
      <c r="D44" s="50">
        <v>300</v>
      </c>
      <c r="E44" s="80">
        <f t="shared" ref="E44:K44" si="21">$C$44*$D$44*E23</f>
        <v>0</v>
      </c>
      <c r="F44" s="80">
        <f t="shared" si="21"/>
        <v>0</v>
      </c>
      <c r="G44" s="80">
        <f t="shared" si="21"/>
        <v>0</v>
      </c>
      <c r="H44" s="80">
        <f t="shared" si="21"/>
        <v>0</v>
      </c>
      <c r="I44" s="80">
        <f t="shared" si="21"/>
        <v>0</v>
      </c>
      <c r="J44" s="80">
        <f t="shared" si="21"/>
        <v>0</v>
      </c>
      <c r="K44" s="80">
        <f t="shared" si="21"/>
        <v>0</v>
      </c>
    </row>
    <row r="45" spans="1:16" ht="15.75" customHeight="1">
      <c r="A45" s="78"/>
      <c r="B45" s="78"/>
      <c r="C45" s="50"/>
      <c r="D45" s="50"/>
      <c r="E45" s="80"/>
      <c r="F45" s="80"/>
      <c r="G45" s="80"/>
      <c r="H45" s="80"/>
      <c r="I45" s="80"/>
      <c r="J45" s="80"/>
      <c r="K45" s="80"/>
    </row>
    <row r="46" spans="1:16" ht="15.75" customHeight="1">
      <c r="A46" s="78"/>
      <c r="B46" s="78"/>
      <c r="C46" s="50"/>
      <c r="D46" s="50"/>
      <c r="E46" s="80"/>
      <c r="F46" s="80"/>
      <c r="G46" s="80"/>
      <c r="H46" s="80"/>
      <c r="I46" s="80"/>
      <c r="J46" s="80"/>
      <c r="K46" s="80"/>
    </row>
    <row r="47" spans="1:16" ht="15.75" customHeight="1">
      <c r="A47" s="78"/>
      <c r="B47" s="78"/>
      <c r="C47" s="50"/>
      <c r="D47" s="50"/>
      <c r="E47" s="80"/>
      <c r="F47" s="80"/>
      <c r="G47" s="80"/>
      <c r="H47" s="80"/>
      <c r="I47" s="80"/>
      <c r="J47" s="80"/>
      <c r="K47" s="80"/>
    </row>
    <row r="48" spans="1:16" ht="15.75" customHeight="1">
      <c r="A48" s="78"/>
      <c r="B48" s="78"/>
      <c r="C48" s="50"/>
      <c r="D48" s="50"/>
      <c r="E48" s="80"/>
      <c r="F48" s="80"/>
      <c r="G48" s="80"/>
      <c r="H48" s="80"/>
      <c r="I48" s="80"/>
      <c r="J48" s="80"/>
      <c r="K48" s="80"/>
    </row>
    <row r="49" spans="1:12" ht="15.75" customHeight="1">
      <c r="A49" s="81" t="s">
        <v>359</v>
      </c>
      <c r="B49" s="81"/>
      <c r="C49" s="55"/>
      <c r="D49" s="55"/>
      <c r="E49" s="82">
        <f t="shared" ref="E49:K49" si="22">SUM(E43:E48)</f>
        <v>0</v>
      </c>
      <c r="F49" s="82">
        <f t="shared" si="22"/>
        <v>0</v>
      </c>
      <c r="G49" s="82">
        <f t="shared" si="22"/>
        <v>0</v>
      </c>
      <c r="H49" s="82">
        <f t="shared" si="22"/>
        <v>0</v>
      </c>
      <c r="I49" s="82">
        <f t="shared" si="22"/>
        <v>0</v>
      </c>
      <c r="J49" s="82">
        <f t="shared" si="22"/>
        <v>0</v>
      </c>
      <c r="K49" s="82">
        <f t="shared" si="22"/>
        <v>0</v>
      </c>
    </row>
    <row r="50" spans="1:12" ht="15.75" customHeight="1">
      <c r="A50" s="81"/>
      <c r="B50" s="81"/>
      <c r="C50" s="55"/>
      <c r="D50" s="55"/>
      <c r="E50" s="82"/>
      <c r="F50" s="82"/>
      <c r="G50" s="82"/>
      <c r="H50" s="82"/>
      <c r="I50" s="82"/>
      <c r="J50" s="82"/>
      <c r="K50" s="82"/>
    </row>
    <row r="51" spans="1:12" ht="15.75" customHeight="1">
      <c r="A51" s="193" t="s">
        <v>360</v>
      </c>
      <c r="B51" s="193"/>
      <c r="C51" s="279"/>
      <c r="D51" s="279"/>
      <c r="E51" s="80"/>
      <c r="F51" s="80"/>
      <c r="G51" s="80"/>
      <c r="H51" s="80"/>
      <c r="I51" s="80"/>
      <c r="J51" s="80"/>
      <c r="K51" s="80"/>
    </row>
    <row r="52" spans="1:12" ht="15.75" customHeight="1">
      <c r="A52" s="197" t="s">
        <v>668</v>
      </c>
      <c r="B52" s="78" t="s">
        <v>161</v>
      </c>
      <c r="C52" s="279">
        <v>1</v>
      </c>
      <c r="D52" s="285"/>
      <c r="E52" s="80">
        <f t="shared" ref="E52:K52" si="23">$C$52*$D$52*12*E23</f>
        <v>0</v>
      </c>
      <c r="F52" s="80">
        <f t="shared" si="23"/>
        <v>0</v>
      </c>
      <c r="G52" s="80">
        <f t="shared" si="23"/>
        <v>0</v>
      </c>
      <c r="H52" s="80">
        <f t="shared" si="23"/>
        <v>0</v>
      </c>
      <c r="I52" s="80">
        <f t="shared" si="23"/>
        <v>0</v>
      </c>
      <c r="J52" s="80">
        <f t="shared" si="23"/>
        <v>0</v>
      </c>
      <c r="K52" s="80">
        <f t="shared" si="23"/>
        <v>0</v>
      </c>
    </row>
    <row r="53" spans="1:12" ht="15.75" customHeight="1">
      <c r="A53" s="197"/>
      <c r="B53" s="197"/>
      <c r="C53" s="279"/>
      <c r="D53" s="285"/>
      <c r="E53" s="80"/>
      <c r="F53" s="80"/>
      <c r="G53" s="80"/>
      <c r="H53" s="80"/>
      <c r="I53" s="80"/>
      <c r="J53" s="80"/>
      <c r="K53" s="80"/>
    </row>
    <row r="54" spans="1:12" ht="15.75" customHeight="1">
      <c r="A54" s="197"/>
      <c r="B54" s="197"/>
      <c r="C54" s="279"/>
      <c r="D54" s="285"/>
      <c r="E54" s="80"/>
      <c r="F54" s="80"/>
      <c r="G54" s="80"/>
      <c r="H54" s="80"/>
      <c r="I54" s="80"/>
      <c r="J54" s="80"/>
      <c r="K54" s="80"/>
    </row>
    <row r="55" spans="1:12" ht="15.75" customHeight="1">
      <c r="A55" s="197"/>
      <c r="B55" s="197"/>
      <c r="C55" s="279"/>
      <c r="D55" s="285"/>
      <c r="E55" s="80"/>
      <c r="F55" s="80"/>
      <c r="G55" s="80"/>
      <c r="H55" s="80"/>
      <c r="I55" s="80"/>
      <c r="J55" s="80"/>
      <c r="K55" s="80"/>
    </row>
    <row r="56" spans="1:12" ht="15.75" customHeight="1">
      <c r="A56" s="81" t="s">
        <v>362</v>
      </c>
      <c r="B56" s="81"/>
      <c r="C56" s="81"/>
      <c r="D56" s="81"/>
      <c r="E56" s="82">
        <f t="shared" ref="E56:K56" si="24">SUM(E52:E55)</f>
        <v>0</v>
      </c>
      <c r="F56" s="82">
        <f t="shared" si="24"/>
        <v>0</v>
      </c>
      <c r="G56" s="82">
        <f t="shared" si="24"/>
        <v>0</v>
      </c>
      <c r="H56" s="82">
        <f t="shared" si="24"/>
        <v>0</v>
      </c>
      <c r="I56" s="82">
        <f t="shared" si="24"/>
        <v>0</v>
      </c>
      <c r="J56" s="82">
        <f t="shared" si="24"/>
        <v>0</v>
      </c>
      <c r="K56" s="82">
        <f t="shared" si="24"/>
        <v>0</v>
      </c>
    </row>
    <row r="57" spans="1:12" ht="15.75" customHeight="1">
      <c r="A57" s="81" t="s">
        <v>598</v>
      </c>
      <c r="B57" s="81"/>
      <c r="C57" s="81"/>
      <c r="D57" s="81"/>
      <c r="E57" s="82">
        <f t="shared" ref="E57:K57" si="25">E49+E56</f>
        <v>0</v>
      </c>
      <c r="F57" s="82">
        <f t="shared" si="25"/>
        <v>0</v>
      </c>
      <c r="G57" s="82">
        <f t="shared" si="25"/>
        <v>0</v>
      </c>
      <c r="H57" s="82">
        <f t="shared" si="25"/>
        <v>0</v>
      </c>
      <c r="I57" s="82">
        <f t="shared" si="25"/>
        <v>0</v>
      </c>
      <c r="J57" s="82">
        <f t="shared" si="25"/>
        <v>0</v>
      </c>
      <c r="K57" s="82">
        <f t="shared" si="25"/>
        <v>0</v>
      </c>
    </row>
    <row r="58" spans="1:12" ht="15.75" customHeight="1">
      <c r="A58" s="78"/>
      <c r="B58" s="78"/>
      <c r="C58" s="78"/>
      <c r="D58" s="78"/>
      <c r="E58" s="80"/>
      <c r="F58" s="80"/>
      <c r="G58" s="80"/>
      <c r="H58" s="80"/>
      <c r="I58" s="80"/>
      <c r="J58" s="80"/>
      <c r="K58" s="80"/>
    </row>
    <row r="59" spans="1:12" ht="15.75" customHeight="1">
      <c r="A59" s="81" t="s">
        <v>669</v>
      </c>
      <c r="B59" s="81"/>
      <c r="C59" s="81"/>
      <c r="D59" s="81"/>
      <c r="E59" s="82">
        <f t="shared" ref="E59:K59" si="26">E39-E57</f>
        <v>0</v>
      </c>
      <c r="F59" s="82">
        <f t="shared" si="26"/>
        <v>0</v>
      </c>
      <c r="G59" s="82">
        <f t="shared" si="26"/>
        <v>0</v>
      </c>
      <c r="H59" s="82">
        <f t="shared" si="26"/>
        <v>0</v>
      </c>
      <c r="I59" s="82">
        <f t="shared" si="26"/>
        <v>0</v>
      </c>
      <c r="J59" s="82">
        <f t="shared" si="26"/>
        <v>0</v>
      </c>
      <c r="K59" s="82">
        <f t="shared" si="26"/>
        <v>0</v>
      </c>
    </row>
    <row r="60" spans="1:12" ht="15.75" customHeight="1">
      <c r="A60" s="98"/>
      <c r="B60" s="98"/>
      <c r="C60" s="98"/>
      <c r="D60" s="98"/>
      <c r="E60" s="286"/>
      <c r="F60" s="286"/>
      <c r="G60" s="286"/>
      <c r="H60" s="286"/>
      <c r="I60" s="286"/>
      <c r="J60" s="286"/>
      <c r="K60" s="286"/>
    </row>
    <row r="61" spans="1:12" ht="15.75" customHeight="1">
      <c r="A61" s="73"/>
      <c r="B61" s="73"/>
      <c r="C61" s="98"/>
      <c r="D61" s="98"/>
      <c r="E61" s="286"/>
      <c r="F61" s="286"/>
      <c r="G61" s="286"/>
      <c r="H61" s="286"/>
      <c r="I61" s="286"/>
      <c r="J61" s="286"/>
      <c r="K61" s="286"/>
    </row>
    <row r="62" spans="1:12" ht="15.75" customHeight="1">
      <c r="A62" s="396" t="s">
        <v>670</v>
      </c>
      <c r="B62" s="378"/>
      <c r="C62" s="378"/>
      <c r="D62" s="378"/>
      <c r="E62" s="378"/>
      <c r="F62" s="378"/>
      <c r="G62" s="378"/>
      <c r="H62" s="378"/>
      <c r="I62" s="378"/>
      <c r="J62" s="378"/>
      <c r="K62" s="378"/>
      <c r="L62" s="378"/>
    </row>
    <row r="63" spans="1:12" ht="15.75" customHeight="1"/>
    <row r="64" spans="1:12" ht="15.75" customHeight="1"/>
    <row r="65" spans="1:2" ht="15.75" customHeight="1">
      <c r="A65" t="s">
        <v>314</v>
      </c>
    </row>
    <row r="66" spans="1:2" ht="15.75" customHeight="1">
      <c r="A66">
        <v>1</v>
      </c>
      <c r="B66" t="s">
        <v>602</v>
      </c>
    </row>
    <row r="67" spans="1:2" ht="15.75" customHeight="1">
      <c r="A67">
        <v>2</v>
      </c>
      <c r="B67" t="s">
        <v>603</v>
      </c>
    </row>
    <row r="68" spans="1:2" ht="15.75" customHeight="1">
      <c r="A68">
        <v>3</v>
      </c>
      <c r="B68" s="73" t="s">
        <v>604</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ageMargins left="0.7" right="0.7" top="0.75" bottom="0.75" header="0" footer="0"/>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workbookViewId="0">
      <selection activeCell="D1" sqref="D1"/>
    </sheetView>
  </sheetViews>
  <sheetFormatPr defaultColWidth="14.42578125" defaultRowHeight="15" customHeight="1"/>
  <cols>
    <col min="1" max="1" width="41.140625" customWidth="1"/>
    <col min="2" max="2" width="4.42578125" customWidth="1"/>
    <col min="3" max="3" width="10.5703125" customWidth="1"/>
    <col min="4" max="4" width="13.42578125" customWidth="1"/>
    <col min="5" max="5" width="19.42578125"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c r="A2" s="394" t="s">
        <v>671</v>
      </c>
      <c r="B2" s="378"/>
      <c r="C2" s="378"/>
      <c r="D2" s="378"/>
      <c r="E2" s="378"/>
      <c r="F2" s="378"/>
      <c r="G2" s="378"/>
      <c r="H2" s="378"/>
      <c r="I2" s="378"/>
    </row>
    <row r="4" spans="1:9">
      <c r="A4" s="73"/>
      <c r="B4" s="73"/>
      <c r="C4" s="73"/>
      <c r="D4" s="73"/>
      <c r="E4" s="73"/>
      <c r="F4" s="73"/>
      <c r="G4" s="73"/>
      <c r="H4" s="73"/>
      <c r="I4" s="73"/>
    </row>
    <row r="5" spans="1:9">
      <c r="A5" s="73"/>
      <c r="B5" s="73"/>
      <c r="C5" s="73"/>
      <c r="D5" s="73"/>
      <c r="E5" s="73"/>
      <c r="F5" s="73"/>
      <c r="G5" s="73"/>
      <c r="H5" s="73"/>
      <c r="I5" s="73"/>
    </row>
    <row r="6" spans="1:9">
      <c r="A6" s="76" t="s">
        <v>82</v>
      </c>
      <c r="B6" s="76"/>
      <c r="C6" s="77" t="s">
        <v>153</v>
      </c>
      <c r="D6" s="77" t="s">
        <v>154</v>
      </c>
      <c r="E6" s="77" t="s">
        <v>155</v>
      </c>
      <c r="F6" s="77" t="s">
        <v>156</v>
      </c>
      <c r="G6" s="77" t="s">
        <v>157</v>
      </c>
      <c r="H6" s="77" t="s">
        <v>158</v>
      </c>
      <c r="I6" s="77" t="s">
        <v>159</v>
      </c>
    </row>
    <row r="7" spans="1:9">
      <c r="A7" s="81" t="s">
        <v>672</v>
      </c>
      <c r="B7" s="78"/>
      <c r="C7" s="78"/>
      <c r="D7" s="78"/>
      <c r="E7" s="78"/>
      <c r="F7" s="78"/>
      <c r="G7" s="78"/>
      <c r="H7" s="78"/>
      <c r="I7" s="78"/>
    </row>
    <row r="8" spans="1:9">
      <c r="A8" s="81" t="s">
        <v>673</v>
      </c>
      <c r="B8" s="270"/>
      <c r="C8" s="287"/>
      <c r="D8" s="287"/>
      <c r="E8" s="287"/>
      <c r="F8" s="287"/>
      <c r="G8" s="287"/>
      <c r="H8" s="287"/>
      <c r="I8" s="287"/>
    </row>
    <row r="9" spans="1:9">
      <c r="A9" s="78" t="str">
        <f>'10.Grain Production details'!A93</f>
        <v>Soybean</v>
      </c>
      <c r="B9" s="270"/>
      <c r="C9" s="287">
        <f>'10.Grain Production details'!B93</f>
        <v>0</v>
      </c>
      <c r="D9" s="287">
        <f>'10.Grain Production details'!C93</f>
        <v>0</v>
      </c>
      <c r="E9" s="287">
        <f>'10.Grain Production details'!D93</f>
        <v>0</v>
      </c>
      <c r="F9" s="287">
        <f>'10.Grain Production details'!E93</f>
        <v>0</v>
      </c>
      <c r="G9" s="287">
        <f>'10.Grain Production details'!F93</f>
        <v>0</v>
      </c>
      <c r="H9" s="287">
        <f>'10.Grain Production details'!G93</f>
        <v>0</v>
      </c>
      <c r="I9" s="287">
        <f>'10.Grain Production details'!H93</f>
        <v>0</v>
      </c>
    </row>
    <row r="10" spans="1:9">
      <c r="A10" s="78" t="str">
        <f>'10.Grain Production details'!A94</f>
        <v>Red Gram/Tur</v>
      </c>
      <c r="B10" s="270"/>
      <c r="C10" s="287">
        <v>0</v>
      </c>
      <c r="D10" s="287">
        <v>0</v>
      </c>
      <c r="E10" s="287">
        <v>0</v>
      </c>
      <c r="F10" s="287">
        <v>0</v>
      </c>
      <c r="G10" s="287">
        <v>0</v>
      </c>
      <c r="H10" s="287">
        <v>0</v>
      </c>
      <c r="I10" s="287">
        <v>0</v>
      </c>
    </row>
    <row r="11" spans="1:9">
      <c r="A11" s="78" t="str">
        <f>'10.Grain Production details'!A95</f>
        <v>Paddy/Rice</v>
      </c>
      <c r="B11" s="270"/>
      <c r="C11" s="287">
        <f>'10.Grain Production details'!B95</f>
        <v>0</v>
      </c>
      <c r="D11" s="287">
        <f>'10.Grain Production details'!C95</f>
        <v>0</v>
      </c>
      <c r="E11" s="287">
        <f>'10.Grain Production details'!D95</f>
        <v>0</v>
      </c>
      <c r="F11" s="287">
        <f>'10.Grain Production details'!E95</f>
        <v>0</v>
      </c>
      <c r="G11" s="287">
        <f>'10.Grain Production details'!F95</f>
        <v>0</v>
      </c>
      <c r="H11" s="287">
        <f>'10.Grain Production details'!G95</f>
        <v>0</v>
      </c>
      <c r="I11" s="287">
        <f>'10.Grain Production details'!H95</f>
        <v>0</v>
      </c>
    </row>
    <row r="12" spans="1:9">
      <c r="A12" s="78" t="str">
        <f>'10.Grain Production details'!A96</f>
        <v>Green Gram/ Moong</v>
      </c>
      <c r="B12" s="270"/>
      <c r="C12" s="287">
        <f>'10.Grain Production details'!B96</f>
        <v>0</v>
      </c>
      <c r="D12" s="287">
        <f>'10.Grain Production details'!C96</f>
        <v>0</v>
      </c>
      <c r="E12" s="287">
        <f>'10.Grain Production details'!D96</f>
        <v>0</v>
      </c>
      <c r="F12" s="287">
        <f>'10.Grain Production details'!E96</f>
        <v>0</v>
      </c>
      <c r="G12" s="287">
        <f>'10.Grain Production details'!F96</f>
        <v>0</v>
      </c>
      <c r="H12" s="287">
        <f>'10.Grain Production details'!G96</f>
        <v>0</v>
      </c>
      <c r="I12" s="287">
        <f>'10.Grain Production details'!H96</f>
        <v>0</v>
      </c>
    </row>
    <row r="13" spans="1:9">
      <c r="A13" s="78" t="str">
        <f>'10.Grain Production details'!A97</f>
        <v>Maize</v>
      </c>
      <c r="B13" s="270"/>
      <c r="C13" s="287">
        <f>'10.Grain Production details'!B97</f>
        <v>0</v>
      </c>
      <c r="D13" s="287">
        <f>'10.Grain Production details'!C97</f>
        <v>0</v>
      </c>
      <c r="E13" s="287">
        <f>'10.Grain Production details'!D97</f>
        <v>0</v>
      </c>
      <c r="F13" s="287">
        <f>'10.Grain Production details'!E97</f>
        <v>0</v>
      </c>
      <c r="G13" s="287">
        <f>'10.Grain Production details'!F97</f>
        <v>0</v>
      </c>
      <c r="H13" s="287">
        <f>'10.Grain Production details'!G97</f>
        <v>0</v>
      </c>
      <c r="I13" s="287">
        <f>'10.Grain Production details'!H97</f>
        <v>0</v>
      </c>
    </row>
    <row r="14" spans="1:9">
      <c r="A14" s="78" t="str">
        <f>'10.Grain Production details'!A98</f>
        <v>Black Gram/Udid</v>
      </c>
      <c r="B14" s="270"/>
      <c r="C14" s="287">
        <f>'10.Grain Production details'!B98</f>
        <v>0</v>
      </c>
      <c r="D14" s="287">
        <f>'10.Grain Production details'!C98</f>
        <v>0</v>
      </c>
      <c r="E14" s="287">
        <f>'10.Grain Production details'!D98</f>
        <v>0</v>
      </c>
      <c r="F14" s="287">
        <f>'10.Grain Production details'!E98</f>
        <v>0</v>
      </c>
      <c r="G14" s="287">
        <f>'10.Grain Production details'!F98</f>
        <v>0</v>
      </c>
      <c r="H14" s="287">
        <f>'10.Grain Production details'!G98</f>
        <v>0</v>
      </c>
      <c r="I14" s="287">
        <f>'10.Grain Production details'!H98</f>
        <v>0</v>
      </c>
    </row>
    <row r="15" spans="1:9">
      <c r="A15" s="78" t="str">
        <f>'10.Grain Production details'!A99</f>
        <v>Bajra</v>
      </c>
      <c r="B15" s="270"/>
      <c r="C15" s="287">
        <f>'10.Grain Production details'!B99</f>
        <v>0</v>
      </c>
      <c r="D15" s="287">
        <f>'10.Grain Production details'!C99</f>
        <v>0</v>
      </c>
      <c r="E15" s="287">
        <f>'10.Grain Production details'!D99</f>
        <v>0</v>
      </c>
      <c r="F15" s="287">
        <f>'10.Grain Production details'!E99</f>
        <v>0</v>
      </c>
      <c r="G15" s="287">
        <f>'10.Grain Production details'!F99</f>
        <v>0</v>
      </c>
      <c r="H15" s="287">
        <f>'10.Grain Production details'!G99</f>
        <v>0</v>
      </c>
      <c r="I15" s="287">
        <f>'10.Grain Production details'!H99</f>
        <v>0</v>
      </c>
    </row>
    <row r="16" spans="1:9">
      <c r="A16" s="78" t="str">
        <f>'10.Grain Production details'!A100</f>
        <v>Jawar</v>
      </c>
      <c r="B16" s="270"/>
      <c r="C16" s="287">
        <f>'10.Grain Production details'!B100</f>
        <v>0</v>
      </c>
      <c r="D16" s="287">
        <f>'10.Grain Production details'!C100</f>
        <v>0</v>
      </c>
      <c r="E16" s="287">
        <f>'10.Grain Production details'!D100</f>
        <v>0</v>
      </c>
      <c r="F16" s="287">
        <f>'10.Grain Production details'!E100</f>
        <v>0</v>
      </c>
      <c r="G16" s="287">
        <f>'10.Grain Production details'!F100</f>
        <v>0</v>
      </c>
      <c r="H16" s="287">
        <f>'10.Grain Production details'!G100</f>
        <v>0</v>
      </c>
      <c r="I16" s="287">
        <f>'10.Grain Production details'!H100</f>
        <v>0</v>
      </c>
    </row>
    <row r="17" spans="1:9">
      <c r="A17" s="81" t="s">
        <v>674</v>
      </c>
      <c r="B17" s="270"/>
      <c r="C17" s="287"/>
      <c r="D17" s="287"/>
      <c r="E17" s="287"/>
      <c r="F17" s="287"/>
      <c r="G17" s="287"/>
      <c r="H17" s="287"/>
      <c r="I17" s="287"/>
    </row>
    <row r="18" spans="1:9">
      <c r="A18" s="78" t="str">
        <f>'10.Grain Production details'!A102</f>
        <v>Wheat</v>
      </c>
      <c r="B18" s="270"/>
      <c r="C18" s="287">
        <f>'10.Grain Production details'!B102</f>
        <v>0</v>
      </c>
      <c r="D18" s="287">
        <f>'10.Grain Production details'!C102</f>
        <v>0</v>
      </c>
      <c r="E18" s="287">
        <f>'10.Grain Production details'!D102</f>
        <v>0</v>
      </c>
      <c r="F18" s="287">
        <f>'10.Grain Production details'!E102</f>
        <v>0</v>
      </c>
      <c r="G18" s="287">
        <f>'10.Grain Production details'!F102</f>
        <v>0</v>
      </c>
      <c r="H18" s="287">
        <f>'10.Grain Production details'!G102</f>
        <v>0</v>
      </c>
      <c r="I18" s="287">
        <f>'10.Grain Production details'!H102</f>
        <v>0</v>
      </c>
    </row>
    <row r="19" spans="1:9">
      <c r="A19" s="78" t="str">
        <f>'10.Grain Production details'!A103</f>
        <v>Bengal Gram/Channa</v>
      </c>
      <c r="B19" s="270"/>
      <c r="C19" s="287">
        <f>'10.Grain Production details'!B103</f>
        <v>0</v>
      </c>
      <c r="D19" s="287">
        <f>'10.Grain Production details'!C103</f>
        <v>0</v>
      </c>
      <c r="E19" s="287">
        <f>'10.Grain Production details'!D103</f>
        <v>0</v>
      </c>
      <c r="F19" s="287">
        <f>'10.Grain Production details'!E103</f>
        <v>0</v>
      </c>
      <c r="G19" s="287">
        <f>'10.Grain Production details'!F103</f>
        <v>0</v>
      </c>
      <c r="H19" s="287">
        <f>'10.Grain Production details'!G103</f>
        <v>0</v>
      </c>
      <c r="I19" s="287">
        <f>'10.Grain Production details'!H103</f>
        <v>0</v>
      </c>
    </row>
    <row r="20" spans="1:9">
      <c r="A20" s="78" t="str">
        <f>'10.Grain Production details'!A104</f>
        <v>Jawar</v>
      </c>
      <c r="B20" s="270"/>
      <c r="C20" s="287">
        <v>0</v>
      </c>
      <c r="D20" s="287">
        <v>0</v>
      </c>
      <c r="E20" s="287">
        <v>0</v>
      </c>
      <c r="F20" s="287">
        <v>0</v>
      </c>
      <c r="G20" s="287">
        <v>0</v>
      </c>
      <c r="H20" s="287">
        <v>0</v>
      </c>
      <c r="I20" s="287">
        <v>0</v>
      </c>
    </row>
    <row r="21" spans="1:9" ht="15.75" customHeight="1">
      <c r="A21" s="78" t="str">
        <f>'10.Grain Production details'!A105</f>
        <v>Maize</v>
      </c>
      <c r="B21" s="270"/>
      <c r="C21" s="287">
        <f>'10.Grain Production details'!B105</f>
        <v>0</v>
      </c>
      <c r="D21" s="287">
        <f>'10.Grain Production details'!C105</f>
        <v>0</v>
      </c>
      <c r="E21" s="287">
        <f>'10.Grain Production details'!D105</f>
        <v>0</v>
      </c>
      <c r="F21" s="287">
        <f>'10.Grain Production details'!E105</f>
        <v>0</v>
      </c>
      <c r="G21" s="287">
        <f>'10.Grain Production details'!F105</f>
        <v>0</v>
      </c>
      <c r="H21" s="287">
        <f>'10.Grain Production details'!G105</f>
        <v>0</v>
      </c>
      <c r="I21" s="287">
        <f>'10.Grain Production details'!H105</f>
        <v>0</v>
      </c>
    </row>
    <row r="22" spans="1:9" ht="15.75" customHeight="1">
      <c r="A22" s="78" t="str">
        <f>'10.Grain Production details'!A106</f>
        <v>Safflower</v>
      </c>
      <c r="B22" s="270"/>
      <c r="C22" s="287">
        <f>'10.Grain Production details'!B106</f>
        <v>0</v>
      </c>
      <c r="D22" s="287">
        <f>'10.Grain Production details'!C106</f>
        <v>0</v>
      </c>
      <c r="E22" s="287">
        <f>'10.Grain Production details'!D106</f>
        <v>0</v>
      </c>
      <c r="F22" s="287">
        <f>'10.Grain Production details'!E106</f>
        <v>0</v>
      </c>
      <c r="G22" s="287">
        <f>'10.Grain Production details'!F106</f>
        <v>0</v>
      </c>
      <c r="H22" s="287">
        <f>'10.Grain Production details'!G106</f>
        <v>0</v>
      </c>
      <c r="I22" s="287">
        <f>'10.Grain Production details'!H106</f>
        <v>0</v>
      </c>
    </row>
    <row r="23" spans="1:9" ht="15.75" customHeight="1">
      <c r="A23" s="78">
        <f>'10.Grain Production details'!A107</f>
        <v>0</v>
      </c>
      <c r="B23" s="270"/>
      <c r="C23" s="287">
        <f>'10.Grain Production details'!B107</f>
        <v>0</v>
      </c>
      <c r="D23" s="287">
        <f>'10.Grain Production details'!C107</f>
        <v>0</v>
      </c>
      <c r="E23" s="287">
        <f>'10.Grain Production details'!D107</f>
        <v>0</v>
      </c>
      <c r="F23" s="287">
        <f>'10.Grain Production details'!E107</f>
        <v>0</v>
      </c>
      <c r="G23" s="287">
        <f>'10.Grain Production details'!F107</f>
        <v>0</v>
      </c>
      <c r="H23" s="287">
        <f>'10.Grain Production details'!G107</f>
        <v>0</v>
      </c>
      <c r="I23" s="287">
        <f>'10.Grain Production details'!H107</f>
        <v>0</v>
      </c>
    </row>
    <row r="24" spans="1:9" ht="15.75" customHeight="1">
      <c r="A24" s="78">
        <f>'10.Grain Production details'!A108</f>
        <v>0</v>
      </c>
      <c r="B24" s="270"/>
      <c r="C24" s="287">
        <f>'10.Grain Production details'!B108</f>
        <v>0</v>
      </c>
      <c r="D24" s="287">
        <f>'10.Grain Production details'!C108</f>
        <v>0</v>
      </c>
      <c r="E24" s="287">
        <f>'10.Grain Production details'!D108</f>
        <v>0</v>
      </c>
      <c r="F24" s="287">
        <f>'10.Grain Production details'!E108</f>
        <v>0</v>
      </c>
      <c r="G24" s="287">
        <f>'10.Grain Production details'!F108</f>
        <v>0</v>
      </c>
      <c r="H24" s="287">
        <f>'10.Grain Production details'!G108</f>
        <v>0</v>
      </c>
      <c r="I24" s="287">
        <f>'10.Grain Production details'!H108</f>
        <v>0</v>
      </c>
    </row>
    <row r="25" spans="1:9" ht="15.75" customHeight="1">
      <c r="A25" s="78">
        <f>'10.Grain Production details'!A109</f>
        <v>0</v>
      </c>
      <c r="B25" s="270"/>
      <c r="C25" s="287">
        <f>'10.Grain Production details'!B109</f>
        <v>0</v>
      </c>
      <c r="D25" s="287">
        <f>'10.Grain Production details'!C109</f>
        <v>0</v>
      </c>
      <c r="E25" s="287">
        <f>'10.Grain Production details'!D109</f>
        <v>0</v>
      </c>
      <c r="F25" s="287">
        <f>'10.Grain Production details'!E109</f>
        <v>0</v>
      </c>
      <c r="G25" s="287">
        <f>'10.Grain Production details'!F109</f>
        <v>0</v>
      </c>
      <c r="H25" s="287">
        <f>'10.Grain Production details'!G109</f>
        <v>0</v>
      </c>
      <c r="I25" s="287">
        <f>'10.Grain Production details'!H109</f>
        <v>0</v>
      </c>
    </row>
    <row r="26" spans="1:9" ht="15.75" customHeight="1">
      <c r="A26" s="81" t="str">
        <f>'10.Grain Production details'!A33</f>
        <v>Summer</v>
      </c>
      <c r="B26" s="270"/>
      <c r="C26" s="287"/>
      <c r="D26" s="287"/>
      <c r="E26" s="287"/>
      <c r="F26" s="287"/>
      <c r="G26" s="287"/>
      <c r="H26" s="287"/>
      <c r="I26" s="287"/>
    </row>
    <row r="27" spans="1:9" ht="15.75" customHeight="1">
      <c r="A27" s="78" t="str">
        <f>'10.Grain Production details'!A110</f>
        <v>Groundnut</v>
      </c>
      <c r="B27" s="270"/>
      <c r="C27" s="287">
        <f>'10.Grain Production details'!B111</f>
        <v>0</v>
      </c>
      <c r="D27" s="287">
        <f>'10.Grain Production details'!C111</f>
        <v>0</v>
      </c>
      <c r="E27" s="287">
        <f>'10.Grain Production details'!D111</f>
        <v>0</v>
      </c>
      <c r="F27" s="287">
        <f>'10.Grain Production details'!E111</f>
        <v>0</v>
      </c>
      <c r="G27" s="287">
        <f>'10.Grain Production details'!F111</f>
        <v>0</v>
      </c>
      <c r="H27" s="287">
        <f>'10.Grain Production details'!G111</f>
        <v>0</v>
      </c>
      <c r="I27" s="287">
        <f>'10.Grain Production details'!H111</f>
        <v>0</v>
      </c>
    </row>
    <row r="28" spans="1:9" ht="15.75" customHeight="1">
      <c r="A28" s="78">
        <f>'10.Grain Production details'!A111</f>
        <v>0</v>
      </c>
      <c r="B28" s="270"/>
      <c r="C28" s="287">
        <f>'10.Grain Production details'!B112</f>
        <v>0</v>
      </c>
      <c r="D28" s="287">
        <f>'10.Grain Production details'!C112</f>
        <v>0</v>
      </c>
      <c r="E28" s="287">
        <f>'10.Grain Production details'!D112</f>
        <v>0</v>
      </c>
      <c r="F28" s="287">
        <f>'10.Grain Production details'!E112</f>
        <v>0</v>
      </c>
      <c r="G28" s="287">
        <f>'10.Grain Production details'!F112</f>
        <v>0</v>
      </c>
      <c r="H28" s="287">
        <f>'10.Grain Production details'!G112</f>
        <v>0</v>
      </c>
      <c r="I28" s="287">
        <f>'10.Grain Production details'!H112</f>
        <v>0</v>
      </c>
    </row>
    <row r="29" spans="1:9" ht="15.75" customHeight="1">
      <c r="A29" s="78">
        <f>'10.Grain Production details'!A112</f>
        <v>0</v>
      </c>
      <c r="B29" s="270"/>
      <c r="C29" s="287">
        <f>'10.Grain Production details'!B113</f>
        <v>0</v>
      </c>
      <c r="D29" s="287">
        <f>'10.Grain Production details'!C113</f>
        <v>0</v>
      </c>
      <c r="E29" s="287">
        <f>'10.Grain Production details'!D113</f>
        <v>0</v>
      </c>
      <c r="F29" s="287">
        <f>'10.Grain Production details'!E113</f>
        <v>0</v>
      </c>
      <c r="G29" s="287">
        <f>'10.Grain Production details'!F113</f>
        <v>0</v>
      </c>
      <c r="H29" s="287">
        <f>'10.Grain Production details'!G113</f>
        <v>0</v>
      </c>
      <c r="I29" s="287">
        <f>'10.Grain Production details'!H113</f>
        <v>0</v>
      </c>
    </row>
    <row r="30" spans="1:9" ht="15.75" customHeight="1">
      <c r="A30" s="78">
        <f>'10.Grain Production details'!A113</f>
        <v>0</v>
      </c>
      <c r="B30" s="270"/>
      <c r="C30" s="287">
        <f>'10.Grain Production details'!B114</f>
        <v>0</v>
      </c>
      <c r="D30" s="287">
        <f>'10.Grain Production details'!C114</f>
        <v>0</v>
      </c>
      <c r="E30" s="287">
        <f>'10.Grain Production details'!D114</f>
        <v>0</v>
      </c>
      <c r="F30" s="287">
        <f>'10.Grain Production details'!E114</f>
        <v>0</v>
      </c>
      <c r="G30" s="287">
        <f>'10.Grain Production details'!F114</f>
        <v>0</v>
      </c>
      <c r="H30" s="287">
        <f>'10.Grain Production details'!G114</f>
        <v>0</v>
      </c>
      <c r="I30" s="287">
        <f>'10.Grain Production details'!H114</f>
        <v>0</v>
      </c>
    </row>
    <row r="31" spans="1:9" ht="15.75" customHeight="1">
      <c r="A31" s="78">
        <f>'10.Grain Production details'!A114</f>
        <v>0</v>
      </c>
      <c r="B31" s="270"/>
      <c r="C31" s="287">
        <f>'10.Grain Production details'!C115</f>
        <v>0</v>
      </c>
      <c r="D31" s="287">
        <f>'10.Grain Production details'!D115</f>
        <v>0</v>
      </c>
      <c r="E31" s="287">
        <f>'10.Grain Production details'!E115</f>
        <v>0</v>
      </c>
      <c r="F31" s="287">
        <f>'10.Grain Production details'!F115</f>
        <v>0</v>
      </c>
      <c r="G31" s="287">
        <f>'10.Grain Production details'!G115</f>
        <v>0</v>
      </c>
      <c r="H31" s="287">
        <f>'10.Grain Production details'!H115</f>
        <v>0</v>
      </c>
      <c r="I31" s="287">
        <f>'10.Grain Production details'!I115</f>
        <v>0</v>
      </c>
    </row>
    <row r="32" spans="1:9" ht="15.75" customHeight="1">
      <c r="A32" s="81" t="str">
        <f>'11.F&amp;V Crop Production details'!A1:H1</f>
        <v>Fruit  &amp; Vegetables Crop Production Details</v>
      </c>
      <c r="B32" s="270"/>
      <c r="C32" s="287"/>
      <c r="D32" s="287"/>
      <c r="E32" s="287"/>
      <c r="F32" s="287"/>
      <c r="G32" s="287"/>
      <c r="H32" s="287"/>
      <c r="I32" s="287"/>
    </row>
    <row r="33" spans="1:9" ht="15.75" customHeight="1">
      <c r="A33" s="78" t="str">
        <f>'11.F&amp;V Crop Production details'!A102</f>
        <v>Onion</v>
      </c>
      <c r="B33" s="270"/>
      <c r="C33" s="287">
        <f>'11.F&amp;V Crop Production details'!B102</f>
        <v>0</v>
      </c>
      <c r="D33" s="287">
        <f>'11.F&amp;V Crop Production details'!C102</f>
        <v>0</v>
      </c>
      <c r="E33" s="287">
        <f>'11.F&amp;V Crop Production details'!D102</f>
        <v>0</v>
      </c>
      <c r="F33" s="287">
        <f>'11.F&amp;V Crop Production details'!E102</f>
        <v>0</v>
      </c>
      <c r="G33" s="287">
        <f>'11.F&amp;V Crop Production details'!F102</f>
        <v>0</v>
      </c>
      <c r="H33" s="287">
        <f>'11.F&amp;V Crop Production details'!G102</f>
        <v>0</v>
      </c>
      <c r="I33" s="287">
        <f>'11.F&amp;V Crop Production details'!H102</f>
        <v>0</v>
      </c>
    </row>
    <row r="34" spans="1:9" ht="15.75" customHeight="1">
      <c r="A34" s="78" t="str">
        <f>'11.F&amp;V Crop Production details'!A103</f>
        <v>Tomato</v>
      </c>
      <c r="B34" s="270"/>
      <c r="C34" s="287">
        <f>'11.F&amp;V Crop Production details'!B103</f>
        <v>0</v>
      </c>
      <c r="D34" s="287">
        <f>'11.F&amp;V Crop Production details'!C103</f>
        <v>0</v>
      </c>
      <c r="E34" s="287">
        <f>'11.F&amp;V Crop Production details'!D103</f>
        <v>0</v>
      </c>
      <c r="F34" s="287">
        <f>'11.F&amp;V Crop Production details'!E103</f>
        <v>0</v>
      </c>
      <c r="G34" s="287">
        <f>'11.F&amp;V Crop Production details'!F103</f>
        <v>0</v>
      </c>
      <c r="H34" s="287">
        <f>'11.F&amp;V Crop Production details'!G103</f>
        <v>0</v>
      </c>
      <c r="I34" s="287">
        <f>'11.F&amp;V Crop Production details'!H103</f>
        <v>0</v>
      </c>
    </row>
    <row r="35" spans="1:9" ht="15.75" customHeight="1">
      <c r="A35" s="78" t="str">
        <f>'11.F&amp;V Crop Production details'!A104</f>
        <v>Okra</v>
      </c>
      <c r="B35" s="270"/>
      <c r="C35" s="287">
        <f>'11.F&amp;V Crop Production details'!B104</f>
        <v>0</v>
      </c>
      <c r="D35" s="287">
        <f>'11.F&amp;V Crop Production details'!C104</f>
        <v>0</v>
      </c>
      <c r="E35" s="287">
        <f>'11.F&amp;V Crop Production details'!D104</f>
        <v>0</v>
      </c>
      <c r="F35" s="287">
        <f>'11.F&amp;V Crop Production details'!E104</f>
        <v>0</v>
      </c>
      <c r="G35" s="287">
        <f>'11.F&amp;V Crop Production details'!F104</f>
        <v>0</v>
      </c>
      <c r="H35" s="287">
        <f>'11.F&amp;V Crop Production details'!G104</f>
        <v>0</v>
      </c>
      <c r="I35" s="287">
        <f>'11.F&amp;V Crop Production details'!H104</f>
        <v>0</v>
      </c>
    </row>
    <row r="36" spans="1:9" ht="15.75" customHeight="1">
      <c r="A36" s="78" t="str">
        <f>'11.F&amp;V Crop Production details'!A105</f>
        <v>Chilli</v>
      </c>
      <c r="B36" s="270"/>
      <c r="C36" s="287">
        <f>'11.F&amp;V Crop Production details'!B105</f>
        <v>0</v>
      </c>
      <c r="D36" s="287">
        <f>'11.F&amp;V Crop Production details'!C105</f>
        <v>0</v>
      </c>
      <c r="E36" s="287">
        <f>'11.F&amp;V Crop Production details'!D105</f>
        <v>0</v>
      </c>
      <c r="F36" s="287">
        <f>'11.F&amp;V Crop Production details'!E105</f>
        <v>0</v>
      </c>
      <c r="G36" s="287">
        <f>'11.F&amp;V Crop Production details'!F105</f>
        <v>0</v>
      </c>
      <c r="H36" s="287">
        <f>'11.F&amp;V Crop Production details'!G105</f>
        <v>0</v>
      </c>
      <c r="I36" s="287">
        <f>'11.F&amp;V Crop Production details'!H105</f>
        <v>0</v>
      </c>
    </row>
    <row r="37" spans="1:9" ht="15.75" customHeight="1">
      <c r="A37" s="78" t="str">
        <f>'11.F&amp;V Crop Production details'!A106</f>
        <v>Potato</v>
      </c>
      <c r="B37" s="270"/>
      <c r="C37" s="287">
        <f>'11.F&amp;V Crop Production details'!B106</f>
        <v>0</v>
      </c>
      <c r="D37" s="287">
        <f>'11.F&amp;V Crop Production details'!C106</f>
        <v>0</v>
      </c>
      <c r="E37" s="287">
        <f>'11.F&amp;V Crop Production details'!D106</f>
        <v>0</v>
      </c>
      <c r="F37" s="287">
        <f>'11.F&amp;V Crop Production details'!E106</f>
        <v>0</v>
      </c>
      <c r="G37" s="287">
        <f>'11.F&amp;V Crop Production details'!F106</f>
        <v>0</v>
      </c>
      <c r="H37" s="287">
        <f>'11.F&amp;V Crop Production details'!G106</f>
        <v>0</v>
      </c>
      <c r="I37" s="287">
        <f>'11.F&amp;V Crop Production details'!H106</f>
        <v>0</v>
      </c>
    </row>
    <row r="38" spans="1:9" ht="15.75" customHeight="1">
      <c r="A38" s="78">
        <f>'11.F&amp;V Crop Production details'!A107</f>
        <v>0</v>
      </c>
      <c r="B38" s="270"/>
      <c r="C38" s="287">
        <f>'11.F&amp;V Crop Production details'!B107</f>
        <v>0</v>
      </c>
      <c r="D38" s="287">
        <f>'11.F&amp;V Crop Production details'!C107</f>
        <v>0</v>
      </c>
      <c r="E38" s="287">
        <f>'11.F&amp;V Crop Production details'!D107</f>
        <v>0</v>
      </c>
      <c r="F38" s="287">
        <f>'11.F&amp;V Crop Production details'!E107</f>
        <v>0</v>
      </c>
      <c r="G38" s="287">
        <f>'11.F&amp;V Crop Production details'!F107</f>
        <v>0</v>
      </c>
      <c r="H38" s="287">
        <f>'11.F&amp;V Crop Production details'!G107</f>
        <v>0</v>
      </c>
      <c r="I38" s="287">
        <f>'11.F&amp;V Crop Production details'!H107</f>
        <v>0</v>
      </c>
    </row>
    <row r="39" spans="1:9" ht="15.75" customHeight="1">
      <c r="A39" s="78">
        <f>'11.F&amp;V Crop Production details'!A108</f>
        <v>0</v>
      </c>
      <c r="B39" s="270"/>
      <c r="C39" s="287">
        <f>'11.F&amp;V Crop Production details'!B108</f>
        <v>0</v>
      </c>
      <c r="D39" s="287">
        <f>'11.F&amp;V Crop Production details'!C108</f>
        <v>0</v>
      </c>
      <c r="E39" s="287">
        <f>'11.F&amp;V Crop Production details'!D108</f>
        <v>0</v>
      </c>
      <c r="F39" s="287">
        <f>'11.F&amp;V Crop Production details'!E108</f>
        <v>0</v>
      </c>
      <c r="G39" s="287">
        <f>'11.F&amp;V Crop Production details'!F108</f>
        <v>0</v>
      </c>
      <c r="H39" s="287">
        <f>'11.F&amp;V Crop Production details'!G108</f>
        <v>0</v>
      </c>
      <c r="I39" s="287">
        <f>'11.F&amp;V Crop Production details'!H108</f>
        <v>0</v>
      </c>
    </row>
    <row r="40" spans="1:9" ht="15.75" customHeight="1">
      <c r="A40" s="78">
        <f>'11.F&amp;V Crop Production details'!A109</f>
        <v>0</v>
      </c>
      <c r="B40" s="270"/>
      <c r="C40" s="287">
        <f>'11.F&amp;V Crop Production details'!B109</f>
        <v>0</v>
      </c>
      <c r="D40" s="287">
        <f>'11.F&amp;V Crop Production details'!C109</f>
        <v>0</v>
      </c>
      <c r="E40" s="287">
        <f>'11.F&amp;V Crop Production details'!D109</f>
        <v>0</v>
      </c>
      <c r="F40" s="287">
        <f>'11.F&amp;V Crop Production details'!E109</f>
        <v>0</v>
      </c>
      <c r="G40" s="287">
        <f>'11.F&amp;V Crop Production details'!F109</f>
        <v>0</v>
      </c>
      <c r="H40" s="287">
        <f>'11.F&amp;V Crop Production details'!G109</f>
        <v>0</v>
      </c>
      <c r="I40" s="287">
        <f>'11.F&amp;V Crop Production details'!H109</f>
        <v>0</v>
      </c>
    </row>
    <row r="41" spans="1:9" ht="15.75" customHeight="1">
      <c r="A41" s="78">
        <f>'11.F&amp;V Crop Production details'!A110</f>
        <v>0</v>
      </c>
      <c r="B41" s="270"/>
      <c r="C41" s="287">
        <f>'11.F&amp;V Crop Production details'!B110</f>
        <v>0</v>
      </c>
      <c r="D41" s="287">
        <f>'11.F&amp;V Crop Production details'!C110</f>
        <v>0</v>
      </c>
      <c r="E41" s="287">
        <f>'11.F&amp;V Crop Production details'!D110</f>
        <v>0</v>
      </c>
      <c r="F41" s="287">
        <f>'11.F&amp;V Crop Production details'!E110</f>
        <v>0</v>
      </c>
      <c r="G41" s="287">
        <f>'11.F&amp;V Crop Production details'!F110</f>
        <v>0</v>
      </c>
      <c r="H41" s="287">
        <f>'11.F&amp;V Crop Production details'!G110</f>
        <v>0</v>
      </c>
      <c r="I41" s="287">
        <f>'11.F&amp;V Crop Production details'!H110</f>
        <v>0</v>
      </c>
    </row>
    <row r="42" spans="1:9" ht="15.75" customHeight="1">
      <c r="A42" s="78" t="str">
        <f>'11.F&amp;V Crop Production details'!A111</f>
        <v>Onion</v>
      </c>
      <c r="B42" s="270"/>
      <c r="C42" s="287">
        <f>'11.F&amp;V Crop Production details'!B111</f>
        <v>0</v>
      </c>
      <c r="D42" s="287">
        <f>'11.F&amp;V Crop Production details'!C111</f>
        <v>0</v>
      </c>
      <c r="E42" s="287">
        <f>'11.F&amp;V Crop Production details'!D111</f>
        <v>0</v>
      </c>
      <c r="F42" s="287">
        <f>'11.F&amp;V Crop Production details'!E111</f>
        <v>0</v>
      </c>
      <c r="G42" s="287">
        <f>'11.F&amp;V Crop Production details'!F111</f>
        <v>0</v>
      </c>
      <c r="H42" s="287">
        <f>'11.F&amp;V Crop Production details'!G111</f>
        <v>0</v>
      </c>
      <c r="I42" s="287">
        <f>'11.F&amp;V Crop Production details'!H111</f>
        <v>0</v>
      </c>
    </row>
    <row r="43" spans="1:9" ht="15.75" customHeight="1">
      <c r="A43" s="78" t="str">
        <f>'11.F&amp;V Crop Production details'!A112</f>
        <v>Tomato</v>
      </c>
      <c r="B43" s="270"/>
      <c r="C43" s="287">
        <f>'11.F&amp;V Crop Production details'!B112</f>
        <v>0</v>
      </c>
      <c r="D43" s="287">
        <f>'11.F&amp;V Crop Production details'!C112</f>
        <v>0</v>
      </c>
      <c r="E43" s="287">
        <f>'11.F&amp;V Crop Production details'!D112</f>
        <v>0</v>
      </c>
      <c r="F43" s="287">
        <f>'11.F&amp;V Crop Production details'!E112</f>
        <v>0</v>
      </c>
      <c r="G43" s="287">
        <f>'11.F&amp;V Crop Production details'!F112</f>
        <v>0</v>
      </c>
      <c r="H43" s="287">
        <f>'11.F&amp;V Crop Production details'!G112</f>
        <v>0</v>
      </c>
      <c r="I43" s="287">
        <f>'11.F&amp;V Crop Production details'!H112</f>
        <v>0</v>
      </c>
    </row>
    <row r="44" spans="1:9" ht="15.75" customHeight="1">
      <c r="A44" s="78" t="str">
        <f>'11.F&amp;V Crop Production details'!A113</f>
        <v>Okra</v>
      </c>
      <c r="B44" s="270"/>
      <c r="C44" s="287">
        <f>'11.F&amp;V Crop Production details'!B113</f>
        <v>0</v>
      </c>
      <c r="D44" s="287">
        <f>'11.F&amp;V Crop Production details'!C113</f>
        <v>0</v>
      </c>
      <c r="E44" s="287">
        <f>'11.F&amp;V Crop Production details'!D113</f>
        <v>0</v>
      </c>
      <c r="F44" s="287">
        <f>'11.F&amp;V Crop Production details'!E113</f>
        <v>0</v>
      </c>
      <c r="G44" s="287">
        <f>'11.F&amp;V Crop Production details'!F113</f>
        <v>0</v>
      </c>
      <c r="H44" s="287">
        <f>'11.F&amp;V Crop Production details'!G113</f>
        <v>0</v>
      </c>
      <c r="I44" s="287">
        <f>'11.F&amp;V Crop Production details'!H113</f>
        <v>0</v>
      </c>
    </row>
    <row r="45" spans="1:9" ht="15.75" customHeight="1">
      <c r="A45" s="78" t="str">
        <f>'11.F&amp;V Crop Production details'!A114</f>
        <v>Chilli</v>
      </c>
      <c r="B45" s="270"/>
      <c r="C45" s="287">
        <f>'11.F&amp;V Crop Production details'!B114</f>
        <v>0</v>
      </c>
      <c r="D45" s="287">
        <f>'11.F&amp;V Crop Production details'!C114</f>
        <v>0</v>
      </c>
      <c r="E45" s="287">
        <f>'11.F&amp;V Crop Production details'!D114</f>
        <v>0</v>
      </c>
      <c r="F45" s="287">
        <f>'11.F&amp;V Crop Production details'!E114</f>
        <v>0</v>
      </c>
      <c r="G45" s="287">
        <f>'11.F&amp;V Crop Production details'!F114</f>
        <v>0</v>
      </c>
      <c r="H45" s="287">
        <f>'11.F&amp;V Crop Production details'!G114</f>
        <v>0</v>
      </c>
      <c r="I45" s="287">
        <f>'11.F&amp;V Crop Production details'!H114</f>
        <v>0</v>
      </c>
    </row>
    <row r="46" spans="1:9" ht="15.75" customHeight="1">
      <c r="A46" s="78" t="str">
        <f>'11.F&amp;V Crop Production details'!A115</f>
        <v>Brinjal</v>
      </c>
      <c r="B46" s="270"/>
      <c r="C46" s="287">
        <f>'11.F&amp;V Crop Production details'!B115</f>
        <v>0</v>
      </c>
      <c r="D46" s="287">
        <f>'11.F&amp;V Crop Production details'!C115</f>
        <v>0</v>
      </c>
      <c r="E46" s="287">
        <f>'11.F&amp;V Crop Production details'!D115</f>
        <v>0</v>
      </c>
      <c r="F46" s="287">
        <f>'11.F&amp;V Crop Production details'!E115</f>
        <v>0</v>
      </c>
      <c r="G46" s="287">
        <f>'11.F&amp;V Crop Production details'!F115</f>
        <v>0</v>
      </c>
      <c r="H46" s="287">
        <f>'11.F&amp;V Crop Production details'!G115</f>
        <v>0</v>
      </c>
      <c r="I46" s="287">
        <f>'11.F&amp;V Crop Production details'!H115</f>
        <v>0</v>
      </c>
    </row>
    <row r="47" spans="1:9" ht="15.75" customHeight="1">
      <c r="A47" s="78">
        <f>'11.F&amp;V Crop Production details'!A116</f>
        <v>0</v>
      </c>
      <c r="B47" s="270"/>
      <c r="C47" s="287">
        <f>'11.F&amp;V Crop Production details'!B116</f>
        <v>0</v>
      </c>
      <c r="D47" s="287">
        <f>'11.F&amp;V Crop Production details'!C116</f>
        <v>0</v>
      </c>
      <c r="E47" s="287">
        <f>'11.F&amp;V Crop Production details'!D116</f>
        <v>0</v>
      </c>
      <c r="F47" s="287">
        <f>'11.F&amp;V Crop Production details'!E116</f>
        <v>0</v>
      </c>
      <c r="G47" s="287">
        <f>'11.F&amp;V Crop Production details'!F116</f>
        <v>0</v>
      </c>
      <c r="H47" s="287">
        <f>'11.F&amp;V Crop Production details'!G116</f>
        <v>0</v>
      </c>
      <c r="I47" s="287">
        <f>'11.F&amp;V Crop Production details'!H116</f>
        <v>0</v>
      </c>
    </row>
    <row r="48" spans="1:9" ht="15.75" customHeight="1">
      <c r="A48" s="78">
        <f>'11.F&amp;V Crop Production details'!A117</f>
        <v>0</v>
      </c>
      <c r="B48" s="270"/>
      <c r="C48" s="287">
        <f>'11.F&amp;V Crop Production details'!B117</f>
        <v>0</v>
      </c>
      <c r="D48" s="287">
        <f>'11.F&amp;V Crop Production details'!C117</f>
        <v>0</v>
      </c>
      <c r="E48" s="287">
        <f>'11.F&amp;V Crop Production details'!D117</f>
        <v>0</v>
      </c>
      <c r="F48" s="287">
        <f>'11.F&amp;V Crop Production details'!E117</f>
        <v>0</v>
      </c>
      <c r="G48" s="287">
        <f>'11.F&amp;V Crop Production details'!F117</f>
        <v>0</v>
      </c>
      <c r="H48" s="287">
        <f>'11.F&amp;V Crop Production details'!G117</f>
        <v>0</v>
      </c>
      <c r="I48" s="287">
        <f>'11.F&amp;V Crop Production details'!H117</f>
        <v>0</v>
      </c>
    </row>
    <row r="49" spans="1:9" ht="15.75" customHeight="1">
      <c r="A49" s="78">
        <f>'11.F&amp;V Crop Production details'!A118</f>
        <v>0</v>
      </c>
      <c r="B49" s="270"/>
      <c r="C49" s="287">
        <f>'11.F&amp;V Crop Production details'!B118</f>
        <v>0</v>
      </c>
      <c r="D49" s="287">
        <f>'11.F&amp;V Crop Production details'!C118</f>
        <v>0</v>
      </c>
      <c r="E49" s="287">
        <f>'11.F&amp;V Crop Production details'!D118</f>
        <v>0</v>
      </c>
      <c r="F49" s="287">
        <f>'11.F&amp;V Crop Production details'!E118</f>
        <v>0</v>
      </c>
      <c r="G49" s="287">
        <f>'11.F&amp;V Crop Production details'!F118</f>
        <v>0</v>
      </c>
      <c r="H49" s="287">
        <f>'11.F&amp;V Crop Production details'!G118</f>
        <v>0</v>
      </c>
      <c r="I49" s="287">
        <f>'11.F&amp;V Crop Production details'!H118</f>
        <v>0</v>
      </c>
    </row>
    <row r="50" spans="1:9" ht="15.75" customHeight="1">
      <c r="A50" s="78">
        <f>'11.F&amp;V Crop Production details'!A119</f>
        <v>0</v>
      </c>
      <c r="B50" s="270"/>
      <c r="C50" s="287">
        <f>'11.F&amp;V Crop Production details'!B119</f>
        <v>0</v>
      </c>
      <c r="D50" s="287">
        <f>'11.F&amp;V Crop Production details'!C119</f>
        <v>0</v>
      </c>
      <c r="E50" s="287">
        <f>'11.F&amp;V Crop Production details'!D119</f>
        <v>0</v>
      </c>
      <c r="F50" s="287">
        <f>'11.F&amp;V Crop Production details'!E119</f>
        <v>0</v>
      </c>
      <c r="G50" s="287">
        <f>'11.F&amp;V Crop Production details'!F119</f>
        <v>0</v>
      </c>
      <c r="H50" s="287">
        <f>'11.F&amp;V Crop Production details'!G119</f>
        <v>0</v>
      </c>
      <c r="I50" s="287">
        <f>'11.F&amp;V Crop Production details'!H119</f>
        <v>0</v>
      </c>
    </row>
    <row r="51" spans="1:9" ht="15.75" customHeight="1">
      <c r="A51" s="78">
        <f>'11.F&amp;V Crop Production details'!A120</f>
        <v>0</v>
      </c>
      <c r="B51" s="270"/>
      <c r="C51" s="287">
        <f>'11.F&amp;V Crop Production details'!B120</f>
        <v>0</v>
      </c>
      <c r="D51" s="287">
        <f>'11.F&amp;V Crop Production details'!C120</f>
        <v>0</v>
      </c>
      <c r="E51" s="287">
        <f>'11.F&amp;V Crop Production details'!D120</f>
        <v>0</v>
      </c>
      <c r="F51" s="287">
        <f>'11.F&amp;V Crop Production details'!E120</f>
        <v>0</v>
      </c>
      <c r="G51" s="287">
        <f>'11.F&amp;V Crop Production details'!F120</f>
        <v>0</v>
      </c>
      <c r="H51" s="287">
        <f>'11.F&amp;V Crop Production details'!G120</f>
        <v>0</v>
      </c>
      <c r="I51" s="287">
        <f>'11.F&amp;V Crop Production details'!H120</f>
        <v>0</v>
      </c>
    </row>
    <row r="52" spans="1:9" ht="15.75" customHeight="1">
      <c r="A52" s="78">
        <f>'11.F&amp;V Crop Production details'!A121</f>
        <v>0</v>
      </c>
      <c r="B52" s="270"/>
      <c r="C52" s="287">
        <f>'11.F&amp;V Crop Production details'!B121</f>
        <v>0</v>
      </c>
      <c r="D52" s="287">
        <f>'11.F&amp;V Crop Production details'!C121</f>
        <v>0</v>
      </c>
      <c r="E52" s="287">
        <f>'11.F&amp;V Crop Production details'!D121</f>
        <v>0</v>
      </c>
      <c r="F52" s="287">
        <f>'11.F&amp;V Crop Production details'!E121</f>
        <v>0</v>
      </c>
      <c r="G52" s="287">
        <f>'11.F&amp;V Crop Production details'!F121</f>
        <v>0</v>
      </c>
      <c r="H52" s="287">
        <f>'11.F&amp;V Crop Production details'!G121</f>
        <v>0</v>
      </c>
      <c r="I52" s="287">
        <f>'11.F&amp;V Crop Production details'!H121</f>
        <v>0</v>
      </c>
    </row>
    <row r="53" spans="1:9" ht="15.75" customHeight="1">
      <c r="A53" s="78">
        <f>'11.F&amp;V Crop Production details'!A122</f>
        <v>0</v>
      </c>
      <c r="B53" s="270"/>
      <c r="C53" s="287">
        <f>'11.F&amp;V Crop Production details'!B122</f>
        <v>0</v>
      </c>
      <c r="D53" s="287">
        <f>'11.F&amp;V Crop Production details'!C122</f>
        <v>0</v>
      </c>
      <c r="E53" s="287">
        <f>'11.F&amp;V Crop Production details'!D122</f>
        <v>0</v>
      </c>
      <c r="F53" s="287">
        <f>'11.F&amp;V Crop Production details'!E122</f>
        <v>0</v>
      </c>
      <c r="G53" s="287">
        <f>'11.F&amp;V Crop Production details'!F122</f>
        <v>0</v>
      </c>
      <c r="H53" s="287">
        <f>'11.F&amp;V Crop Production details'!G122</f>
        <v>0</v>
      </c>
      <c r="I53" s="287">
        <f>'11.F&amp;V Crop Production details'!H122</f>
        <v>0</v>
      </c>
    </row>
    <row r="54" spans="1:9" ht="15.75" customHeight="1">
      <c r="A54" s="78" t="str">
        <f>'11.F&amp;V Crop Production details'!A123</f>
        <v>Pomegranate</v>
      </c>
      <c r="B54" s="270"/>
      <c r="C54" s="287">
        <f>'11.F&amp;V Crop Production details'!B123</f>
        <v>0</v>
      </c>
      <c r="D54" s="287">
        <f>'11.F&amp;V Crop Production details'!C123</f>
        <v>0</v>
      </c>
      <c r="E54" s="287">
        <f>'11.F&amp;V Crop Production details'!D123</f>
        <v>0</v>
      </c>
      <c r="F54" s="287">
        <f>'11.F&amp;V Crop Production details'!E123</f>
        <v>0</v>
      </c>
      <c r="G54" s="287">
        <f>'11.F&amp;V Crop Production details'!F123</f>
        <v>0</v>
      </c>
      <c r="H54" s="287">
        <f>'11.F&amp;V Crop Production details'!G123</f>
        <v>0</v>
      </c>
      <c r="I54" s="287">
        <f>'11.F&amp;V Crop Production details'!H123</f>
        <v>0</v>
      </c>
    </row>
    <row r="55" spans="1:9" ht="15.75" customHeight="1">
      <c r="A55" s="78" t="str">
        <f>'11.F&amp;V Crop Production details'!A124</f>
        <v>Custard Apple</v>
      </c>
      <c r="B55" s="270"/>
      <c r="C55" s="287">
        <f>'11.F&amp;V Crop Production details'!B124</f>
        <v>0</v>
      </c>
      <c r="D55" s="287">
        <f>'11.F&amp;V Crop Production details'!C124</f>
        <v>0</v>
      </c>
      <c r="E55" s="287">
        <f>'11.F&amp;V Crop Production details'!D124</f>
        <v>0</v>
      </c>
      <c r="F55" s="287">
        <f>'11.F&amp;V Crop Production details'!E124</f>
        <v>0</v>
      </c>
      <c r="G55" s="287">
        <f>'11.F&amp;V Crop Production details'!F124</f>
        <v>0</v>
      </c>
      <c r="H55" s="287">
        <f>'11.F&amp;V Crop Production details'!G124</f>
        <v>0</v>
      </c>
      <c r="I55" s="287">
        <f>'11.F&amp;V Crop Production details'!H124</f>
        <v>0</v>
      </c>
    </row>
    <row r="56" spans="1:9" ht="15.75" customHeight="1">
      <c r="A56" s="78" t="str">
        <f>'11.F&amp;V Crop Production details'!A125</f>
        <v>Guava</v>
      </c>
      <c r="B56" s="270"/>
      <c r="C56" s="287">
        <f>'11.F&amp;V Crop Production details'!B125</f>
        <v>0</v>
      </c>
      <c r="D56" s="287">
        <f>'11.F&amp;V Crop Production details'!C125</f>
        <v>0</v>
      </c>
      <c r="E56" s="287">
        <f>'11.F&amp;V Crop Production details'!D125</f>
        <v>0</v>
      </c>
      <c r="F56" s="287">
        <f>'11.F&amp;V Crop Production details'!E125</f>
        <v>0</v>
      </c>
      <c r="G56" s="287">
        <f>'11.F&amp;V Crop Production details'!F125</f>
        <v>0</v>
      </c>
      <c r="H56" s="287">
        <f>'11.F&amp;V Crop Production details'!G125</f>
        <v>0</v>
      </c>
      <c r="I56" s="287">
        <f>'11.F&amp;V Crop Production details'!H125</f>
        <v>0</v>
      </c>
    </row>
    <row r="57" spans="1:9" ht="15.75" customHeight="1">
      <c r="A57" s="78" t="str">
        <f>'11.F&amp;V Crop Production details'!A126</f>
        <v>Citrus</v>
      </c>
      <c r="B57" s="270"/>
      <c r="C57" s="287">
        <f>'11.F&amp;V Crop Production details'!B126</f>
        <v>0</v>
      </c>
      <c r="D57" s="287">
        <f>'11.F&amp;V Crop Production details'!C126</f>
        <v>0</v>
      </c>
      <c r="E57" s="287">
        <f>'11.F&amp;V Crop Production details'!D126</f>
        <v>0</v>
      </c>
      <c r="F57" s="287">
        <f>'11.F&amp;V Crop Production details'!E126</f>
        <v>0</v>
      </c>
      <c r="G57" s="287">
        <f>'11.F&amp;V Crop Production details'!F126</f>
        <v>0</v>
      </c>
      <c r="H57" s="287">
        <f>'11.F&amp;V Crop Production details'!G126</f>
        <v>0</v>
      </c>
      <c r="I57" s="287">
        <f>'11.F&amp;V Crop Production details'!H126</f>
        <v>0</v>
      </c>
    </row>
    <row r="58" spans="1:9" ht="15.75" customHeight="1">
      <c r="A58" s="78"/>
      <c r="B58" s="270"/>
      <c r="C58" s="270"/>
      <c r="D58" s="270"/>
      <c r="E58" s="270"/>
      <c r="F58" s="270"/>
      <c r="G58" s="270"/>
      <c r="H58" s="270"/>
      <c r="I58" s="270"/>
    </row>
    <row r="59" spans="1:9" ht="15.75" customHeight="1">
      <c r="A59" s="81" t="s">
        <v>675</v>
      </c>
      <c r="B59" s="78"/>
      <c r="C59" s="78"/>
      <c r="D59" s="78"/>
      <c r="E59" s="78"/>
      <c r="F59" s="78"/>
      <c r="G59" s="78"/>
      <c r="H59" s="78"/>
      <c r="I59" s="78"/>
    </row>
    <row r="60" spans="1:9" ht="15.75" customHeight="1">
      <c r="A60" s="81" t="s">
        <v>676</v>
      </c>
      <c r="B60" s="78"/>
      <c r="C60" s="78"/>
      <c r="D60" s="78"/>
      <c r="E60" s="78"/>
      <c r="F60" s="78"/>
      <c r="G60" s="78"/>
      <c r="H60" s="78"/>
      <c r="I60" s="78"/>
    </row>
    <row r="61" spans="1:9" ht="15.75" customHeight="1">
      <c r="A61" s="81" t="str">
        <f t="shared" ref="A61:A110" si="0">A8</f>
        <v>Kharif Crops</v>
      </c>
      <c r="B61" s="78"/>
      <c r="C61" s="78"/>
      <c r="D61" s="78"/>
      <c r="E61" s="78"/>
      <c r="F61" s="78"/>
      <c r="G61" s="78"/>
      <c r="H61" s="78"/>
      <c r="I61" s="78"/>
    </row>
    <row r="62" spans="1:9" ht="15.75" customHeight="1">
      <c r="A62" s="78" t="str">
        <f t="shared" si="0"/>
        <v>Soybean</v>
      </c>
      <c r="B62" s="50">
        <v>40</v>
      </c>
      <c r="C62" s="270">
        <f t="shared" ref="C62:I62" si="1">$B62*C9</f>
        <v>0</v>
      </c>
      <c r="D62" s="270">
        <f t="shared" si="1"/>
        <v>0</v>
      </c>
      <c r="E62" s="270">
        <f t="shared" si="1"/>
        <v>0</v>
      </c>
      <c r="F62" s="270">
        <f t="shared" si="1"/>
        <v>0</v>
      </c>
      <c r="G62" s="270">
        <f t="shared" si="1"/>
        <v>0</v>
      </c>
      <c r="H62" s="270">
        <f t="shared" si="1"/>
        <v>0</v>
      </c>
      <c r="I62" s="270">
        <f t="shared" si="1"/>
        <v>0</v>
      </c>
    </row>
    <row r="63" spans="1:9" ht="15.75" customHeight="1">
      <c r="A63" s="78" t="str">
        <f t="shared" si="0"/>
        <v>Red Gram/Tur</v>
      </c>
      <c r="B63" s="50">
        <v>5</v>
      </c>
      <c r="C63" s="270">
        <f t="shared" ref="C63:C69" si="2">$B63*C10</f>
        <v>0</v>
      </c>
      <c r="D63" s="270">
        <f t="shared" ref="D63:I63" si="3">$B$63*D10</f>
        <v>0</v>
      </c>
      <c r="E63" s="270">
        <f t="shared" si="3"/>
        <v>0</v>
      </c>
      <c r="F63" s="270">
        <f t="shared" si="3"/>
        <v>0</v>
      </c>
      <c r="G63" s="270">
        <f t="shared" si="3"/>
        <v>0</v>
      </c>
      <c r="H63" s="270">
        <f t="shared" si="3"/>
        <v>0</v>
      </c>
      <c r="I63" s="270">
        <f t="shared" si="3"/>
        <v>0</v>
      </c>
    </row>
    <row r="64" spans="1:9" ht="15.75" customHeight="1">
      <c r="A64" s="78" t="str">
        <f t="shared" si="0"/>
        <v>Paddy/Rice</v>
      </c>
      <c r="B64" s="50">
        <v>15</v>
      </c>
      <c r="C64" s="270">
        <f t="shared" si="2"/>
        <v>0</v>
      </c>
      <c r="D64" s="270">
        <f t="shared" ref="D64:I64" si="4">$B$64*D11</f>
        <v>0</v>
      </c>
      <c r="E64" s="270">
        <f t="shared" si="4"/>
        <v>0</v>
      </c>
      <c r="F64" s="270">
        <f t="shared" si="4"/>
        <v>0</v>
      </c>
      <c r="G64" s="270">
        <f t="shared" si="4"/>
        <v>0</v>
      </c>
      <c r="H64" s="270">
        <f t="shared" si="4"/>
        <v>0</v>
      </c>
      <c r="I64" s="270">
        <f t="shared" si="4"/>
        <v>0</v>
      </c>
    </row>
    <row r="65" spans="1:9" ht="15.75" customHeight="1">
      <c r="A65" s="78" t="str">
        <f t="shared" si="0"/>
        <v>Green Gram/ Moong</v>
      </c>
      <c r="B65" s="50">
        <v>15</v>
      </c>
      <c r="C65" s="270">
        <f t="shared" si="2"/>
        <v>0</v>
      </c>
      <c r="D65" s="270">
        <f t="shared" ref="D65:I65" si="5">$B65*D12</f>
        <v>0</v>
      </c>
      <c r="E65" s="270">
        <f t="shared" si="5"/>
        <v>0</v>
      </c>
      <c r="F65" s="270">
        <f t="shared" si="5"/>
        <v>0</v>
      </c>
      <c r="G65" s="270">
        <f t="shared" si="5"/>
        <v>0</v>
      </c>
      <c r="H65" s="270">
        <f t="shared" si="5"/>
        <v>0</v>
      </c>
      <c r="I65" s="270">
        <f t="shared" si="5"/>
        <v>0</v>
      </c>
    </row>
    <row r="66" spans="1:9" ht="15.75" customHeight="1">
      <c r="A66" s="78" t="str">
        <f t="shared" si="0"/>
        <v>Maize</v>
      </c>
      <c r="B66" s="50">
        <v>25</v>
      </c>
      <c r="C66" s="270">
        <f t="shared" si="2"/>
        <v>0</v>
      </c>
      <c r="D66" s="270">
        <f t="shared" ref="D66:I66" si="6">$B66*D13</f>
        <v>0</v>
      </c>
      <c r="E66" s="270">
        <f t="shared" si="6"/>
        <v>0</v>
      </c>
      <c r="F66" s="270">
        <f t="shared" si="6"/>
        <v>0</v>
      </c>
      <c r="G66" s="270">
        <f t="shared" si="6"/>
        <v>0</v>
      </c>
      <c r="H66" s="270">
        <f t="shared" si="6"/>
        <v>0</v>
      </c>
      <c r="I66" s="270">
        <f t="shared" si="6"/>
        <v>0</v>
      </c>
    </row>
    <row r="67" spans="1:9" ht="15.75" customHeight="1">
      <c r="A67" s="78" t="str">
        <f t="shared" si="0"/>
        <v>Black Gram/Udid</v>
      </c>
      <c r="B67" s="50">
        <v>15</v>
      </c>
      <c r="C67" s="270">
        <f t="shared" si="2"/>
        <v>0</v>
      </c>
      <c r="D67" s="270">
        <f t="shared" ref="D67:I67" si="7">$B67*D14</f>
        <v>0</v>
      </c>
      <c r="E67" s="270">
        <f t="shared" si="7"/>
        <v>0</v>
      </c>
      <c r="F67" s="270">
        <f t="shared" si="7"/>
        <v>0</v>
      </c>
      <c r="G67" s="270">
        <f t="shared" si="7"/>
        <v>0</v>
      </c>
      <c r="H67" s="270">
        <f t="shared" si="7"/>
        <v>0</v>
      </c>
      <c r="I67" s="270">
        <f t="shared" si="7"/>
        <v>0</v>
      </c>
    </row>
    <row r="68" spans="1:9" ht="15.75" customHeight="1">
      <c r="A68" s="78" t="str">
        <f t="shared" si="0"/>
        <v>Bajra</v>
      </c>
      <c r="B68" s="50">
        <v>5</v>
      </c>
      <c r="C68" s="270">
        <f t="shared" si="2"/>
        <v>0</v>
      </c>
      <c r="D68" s="270">
        <f t="shared" ref="D68:I68" si="8">$B68*D15</f>
        <v>0</v>
      </c>
      <c r="E68" s="270">
        <f t="shared" si="8"/>
        <v>0</v>
      </c>
      <c r="F68" s="270">
        <f t="shared" si="8"/>
        <v>0</v>
      </c>
      <c r="G68" s="270">
        <f t="shared" si="8"/>
        <v>0</v>
      </c>
      <c r="H68" s="270">
        <f t="shared" si="8"/>
        <v>0</v>
      </c>
      <c r="I68" s="270">
        <f t="shared" si="8"/>
        <v>0</v>
      </c>
    </row>
    <row r="69" spans="1:9" ht="15.75" customHeight="1">
      <c r="A69" s="78" t="str">
        <f t="shared" si="0"/>
        <v>Jawar</v>
      </c>
      <c r="B69" s="50">
        <v>5</v>
      </c>
      <c r="C69" s="270">
        <f t="shared" si="2"/>
        <v>0</v>
      </c>
      <c r="D69" s="270">
        <f t="shared" ref="D69:I69" si="9">$B69*D16</f>
        <v>0</v>
      </c>
      <c r="E69" s="270">
        <f t="shared" si="9"/>
        <v>0</v>
      </c>
      <c r="F69" s="270">
        <f t="shared" si="9"/>
        <v>0</v>
      </c>
      <c r="G69" s="270">
        <f t="shared" si="9"/>
        <v>0</v>
      </c>
      <c r="H69" s="270">
        <f t="shared" si="9"/>
        <v>0</v>
      </c>
      <c r="I69" s="270">
        <f t="shared" si="9"/>
        <v>0</v>
      </c>
    </row>
    <row r="70" spans="1:9" ht="15.75" customHeight="1">
      <c r="A70" s="81" t="str">
        <f t="shared" si="0"/>
        <v>Rabi Crop</v>
      </c>
      <c r="B70" s="50"/>
      <c r="C70" s="270"/>
      <c r="D70" s="270"/>
      <c r="E70" s="270"/>
      <c r="F70" s="270"/>
      <c r="G70" s="270"/>
      <c r="H70" s="270"/>
      <c r="I70" s="270"/>
    </row>
    <row r="71" spans="1:9" ht="15.75" customHeight="1">
      <c r="A71" s="78" t="str">
        <f t="shared" si="0"/>
        <v>Wheat</v>
      </c>
      <c r="B71" s="50">
        <v>20</v>
      </c>
      <c r="C71" s="270">
        <f t="shared" ref="C71:I71" si="10">$B71*C18</f>
        <v>0</v>
      </c>
      <c r="D71" s="270">
        <f t="shared" si="10"/>
        <v>0</v>
      </c>
      <c r="E71" s="270">
        <f t="shared" si="10"/>
        <v>0</v>
      </c>
      <c r="F71" s="270">
        <f t="shared" si="10"/>
        <v>0</v>
      </c>
      <c r="G71" s="270">
        <f t="shared" si="10"/>
        <v>0</v>
      </c>
      <c r="H71" s="270">
        <f t="shared" si="10"/>
        <v>0</v>
      </c>
      <c r="I71" s="270">
        <f t="shared" si="10"/>
        <v>0</v>
      </c>
    </row>
    <row r="72" spans="1:9" ht="15.75" customHeight="1">
      <c r="A72" s="78" t="str">
        <f t="shared" si="0"/>
        <v>Bengal Gram/Channa</v>
      </c>
      <c r="B72" s="50">
        <v>25</v>
      </c>
      <c r="C72" s="270">
        <f t="shared" ref="C72:I72" si="11">$B72*C19</f>
        <v>0</v>
      </c>
      <c r="D72" s="270">
        <f t="shared" si="11"/>
        <v>0</v>
      </c>
      <c r="E72" s="270">
        <f t="shared" si="11"/>
        <v>0</v>
      </c>
      <c r="F72" s="270">
        <f t="shared" si="11"/>
        <v>0</v>
      </c>
      <c r="G72" s="270">
        <f t="shared" si="11"/>
        <v>0</v>
      </c>
      <c r="H72" s="270">
        <f t="shared" si="11"/>
        <v>0</v>
      </c>
      <c r="I72" s="270">
        <f t="shared" si="11"/>
        <v>0</v>
      </c>
    </row>
    <row r="73" spans="1:9" ht="15.75" customHeight="1">
      <c r="A73" s="78" t="str">
        <f t="shared" si="0"/>
        <v>Jawar</v>
      </c>
      <c r="B73" s="50">
        <v>5</v>
      </c>
      <c r="C73" s="270">
        <f t="shared" ref="C73:I73" si="12">$B73*C20</f>
        <v>0</v>
      </c>
      <c r="D73" s="270">
        <f t="shared" si="12"/>
        <v>0</v>
      </c>
      <c r="E73" s="270">
        <f t="shared" si="12"/>
        <v>0</v>
      </c>
      <c r="F73" s="270">
        <f t="shared" si="12"/>
        <v>0</v>
      </c>
      <c r="G73" s="270">
        <f t="shared" si="12"/>
        <v>0</v>
      </c>
      <c r="H73" s="270">
        <f t="shared" si="12"/>
        <v>0</v>
      </c>
      <c r="I73" s="270">
        <f t="shared" si="12"/>
        <v>0</v>
      </c>
    </row>
    <row r="74" spans="1:9" ht="15.75" customHeight="1">
      <c r="A74" s="78" t="str">
        <f t="shared" si="0"/>
        <v>Maize</v>
      </c>
      <c r="B74" s="50">
        <v>20</v>
      </c>
      <c r="C74" s="270">
        <f t="shared" ref="C74:I74" si="13">$B74*C21</f>
        <v>0</v>
      </c>
      <c r="D74" s="270">
        <f t="shared" si="13"/>
        <v>0</v>
      </c>
      <c r="E74" s="270">
        <f t="shared" si="13"/>
        <v>0</v>
      </c>
      <c r="F74" s="270">
        <f t="shared" si="13"/>
        <v>0</v>
      </c>
      <c r="G74" s="270">
        <f t="shared" si="13"/>
        <v>0</v>
      </c>
      <c r="H74" s="270">
        <f t="shared" si="13"/>
        <v>0</v>
      </c>
      <c r="I74" s="270">
        <f t="shared" si="13"/>
        <v>0</v>
      </c>
    </row>
    <row r="75" spans="1:9" ht="15.75" customHeight="1">
      <c r="A75" s="78" t="str">
        <f t="shared" si="0"/>
        <v>Safflower</v>
      </c>
      <c r="B75" s="50"/>
      <c r="C75" s="270">
        <f t="shared" ref="C75:I75" si="14">$B75*C22</f>
        <v>0</v>
      </c>
      <c r="D75" s="270">
        <f t="shared" si="14"/>
        <v>0</v>
      </c>
      <c r="E75" s="270">
        <f t="shared" si="14"/>
        <v>0</v>
      </c>
      <c r="F75" s="270">
        <f t="shared" si="14"/>
        <v>0</v>
      </c>
      <c r="G75" s="270">
        <f t="shared" si="14"/>
        <v>0</v>
      </c>
      <c r="H75" s="270">
        <f t="shared" si="14"/>
        <v>0</v>
      </c>
      <c r="I75" s="270">
        <f t="shared" si="14"/>
        <v>0</v>
      </c>
    </row>
    <row r="76" spans="1:9" ht="15.75" customHeight="1">
      <c r="A76" s="78">
        <f t="shared" si="0"/>
        <v>0</v>
      </c>
      <c r="B76" s="50"/>
      <c r="C76" s="270">
        <f t="shared" ref="C76:I76" si="15">$B76*C23</f>
        <v>0</v>
      </c>
      <c r="D76" s="270">
        <f t="shared" si="15"/>
        <v>0</v>
      </c>
      <c r="E76" s="270">
        <f t="shared" si="15"/>
        <v>0</v>
      </c>
      <c r="F76" s="270">
        <f t="shared" si="15"/>
        <v>0</v>
      </c>
      <c r="G76" s="270">
        <f t="shared" si="15"/>
        <v>0</v>
      </c>
      <c r="H76" s="270">
        <f t="shared" si="15"/>
        <v>0</v>
      </c>
      <c r="I76" s="270">
        <f t="shared" si="15"/>
        <v>0</v>
      </c>
    </row>
    <row r="77" spans="1:9" ht="15.75" customHeight="1">
      <c r="A77" s="78">
        <f t="shared" si="0"/>
        <v>0</v>
      </c>
      <c r="B77" s="50"/>
      <c r="C77" s="270">
        <f t="shared" ref="C77:I77" si="16">$B77*C24</f>
        <v>0</v>
      </c>
      <c r="D77" s="270">
        <f t="shared" si="16"/>
        <v>0</v>
      </c>
      <c r="E77" s="270">
        <f t="shared" si="16"/>
        <v>0</v>
      </c>
      <c r="F77" s="270">
        <f t="shared" si="16"/>
        <v>0</v>
      </c>
      <c r="G77" s="270">
        <f t="shared" si="16"/>
        <v>0</v>
      </c>
      <c r="H77" s="270">
        <f t="shared" si="16"/>
        <v>0</v>
      </c>
      <c r="I77" s="270">
        <f t="shared" si="16"/>
        <v>0</v>
      </c>
    </row>
    <row r="78" spans="1:9" ht="15.75" customHeight="1">
      <c r="A78" s="78">
        <f t="shared" si="0"/>
        <v>0</v>
      </c>
      <c r="B78" s="50"/>
      <c r="C78" s="270">
        <f t="shared" ref="C78:I78" si="17">$B78*C25</f>
        <v>0</v>
      </c>
      <c r="D78" s="270">
        <f t="shared" si="17"/>
        <v>0</v>
      </c>
      <c r="E78" s="270">
        <f t="shared" si="17"/>
        <v>0</v>
      </c>
      <c r="F78" s="270">
        <f t="shared" si="17"/>
        <v>0</v>
      </c>
      <c r="G78" s="270">
        <f t="shared" si="17"/>
        <v>0</v>
      </c>
      <c r="H78" s="270">
        <f t="shared" si="17"/>
        <v>0</v>
      </c>
      <c r="I78" s="270">
        <f t="shared" si="17"/>
        <v>0</v>
      </c>
    </row>
    <row r="79" spans="1:9" ht="15.75" customHeight="1">
      <c r="A79" s="81" t="str">
        <f t="shared" si="0"/>
        <v>Summer</v>
      </c>
      <c r="B79" s="50"/>
      <c r="C79" s="270"/>
      <c r="D79" s="270"/>
      <c r="E79" s="270"/>
      <c r="F79" s="270"/>
      <c r="G79" s="270"/>
      <c r="H79" s="270"/>
      <c r="I79" s="270"/>
    </row>
    <row r="80" spans="1:9" ht="15.75" customHeight="1">
      <c r="A80" s="78" t="str">
        <f t="shared" si="0"/>
        <v>Groundnut</v>
      </c>
      <c r="B80" s="50"/>
      <c r="C80" s="270">
        <f t="shared" ref="C80:I80" si="18">$B80*C27</f>
        <v>0</v>
      </c>
      <c r="D80" s="270">
        <f t="shared" si="18"/>
        <v>0</v>
      </c>
      <c r="E80" s="270">
        <f t="shared" si="18"/>
        <v>0</v>
      </c>
      <c r="F80" s="270">
        <f t="shared" si="18"/>
        <v>0</v>
      </c>
      <c r="G80" s="270">
        <f t="shared" si="18"/>
        <v>0</v>
      </c>
      <c r="H80" s="270">
        <f t="shared" si="18"/>
        <v>0</v>
      </c>
      <c r="I80" s="270">
        <f t="shared" si="18"/>
        <v>0</v>
      </c>
    </row>
    <row r="81" spans="1:9" ht="15.75" customHeight="1">
      <c r="A81" s="78">
        <f t="shared" si="0"/>
        <v>0</v>
      </c>
      <c r="B81" s="50"/>
      <c r="C81" s="270">
        <f t="shared" ref="C81:I81" si="19">$B81*C28</f>
        <v>0</v>
      </c>
      <c r="D81" s="270">
        <f t="shared" si="19"/>
        <v>0</v>
      </c>
      <c r="E81" s="270">
        <f t="shared" si="19"/>
        <v>0</v>
      </c>
      <c r="F81" s="270">
        <f t="shared" si="19"/>
        <v>0</v>
      </c>
      <c r="G81" s="270">
        <f t="shared" si="19"/>
        <v>0</v>
      </c>
      <c r="H81" s="270">
        <f t="shared" si="19"/>
        <v>0</v>
      </c>
      <c r="I81" s="270">
        <f t="shared" si="19"/>
        <v>0</v>
      </c>
    </row>
    <row r="82" spans="1:9" ht="15.75" customHeight="1">
      <c r="A82" s="78">
        <f t="shared" si="0"/>
        <v>0</v>
      </c>
      <c r="B82" s="50"/>
      <c r="C82" s="270">
        <f t="shared" ref="C82:I82" si="20">$B82*C29</f>
        <v>0</v>
      </c>
      <c r="D82" s="270">
        <f t="shared" si="20"/>
        <v>0</v>
      </c>
      <c r="E82" s="270">
        <f t="shared" si="20"/>
        <v>0</v>
      </c>
      <c r="F82" s="270">
        <f t="shared" si="20"/>
        <v>0</v>
      </c>
      <c r="G82" s="270">
        <f t="shared" si="20"/>
        <v>0</v>
      </c>
      <c r="H82" s="270">
        <f t="shared" si="20"/>
        <v>0</v>
      </c>
      <c r="I82" s="270">
        <f t="shared" si="20"/>
        <v>0</v>
      </c>
    </row>
    <row r="83" spans="1:9" ht="15.75" customHeight="1">
      <c r="A83" s="78">
        <f t="shared" si="0"/>
        <v>0</v>
      </c>
      <c r="B83" s="50"/>
      <c r="C83" s="270">
        <f t="shared" ref="C83:I83" si="21">$B83*C30</f>
        <v>0</v>
      </c>
      <c r="D83" s="270">
        <f t="shared" si="21"/>
        <v>0</v>
      </c>
      <c r="E83" s="270">
        <f t="shared" si="21"/>
        <v>0</v>
      </c>
      <c r="F83" s="270">
        <f t="shared" si="21"/>
        <v>0</v>
      </c>
      <c r="G83" s="270">
        <f t="shared" si="21"/>
        <v>0</v>
      </c>
      <c r="H83" s="270">
        <f t="shared" si="21"/>
        <v>0</v>
      </c>
      <c r="I83" s="270">
        <f t="shared" si="21"/>
        <v>0</v>
      </c>
    </row>
    <row r="84" spans="1:9" ht="15.75" customHeight="1">
      <c r="A84" s="78">
        <f t="shared" si="0"/>
        <v>0</v>
      </c>
      <c r="B84" s="50"/>
      <c r="C84" s="270">
        <f t="shared" ref="C84:I84" si="22">$B84*C31</f>
        <v>0</v>
      </c>
      <c r="D84" s="270">
        <f t="shared" si="22"/>
        <v>0</v>
      </c>
      <c r="E84" s="270">
        <f t="shared" si="22"/>
        <v>0</v>
      </c>
      <c r="F84" s="270">
        <f t="shared" si="22"/>
        <v>0</v>
      </c>
      <c r="G84" s="270">
        <f t="shared" si="22"/>
        <v>0</v>
      </c>
      <c r="H84" s="270">
        <f t="shared" si="22"/>
        <v>0</v>
      </c>
      <c r="I84" s="270">
        <f t="shared" si="22"/>
        <v>0</v>
      </c>
    </row>
    <row r="85" spans="1:9" ht="15.75" customHeight="1">
      <c r="A85" s="81" t="str">
        <f t="shared" si="0"/>
        <v>Fruit  &amp; Vegetables Crop Production Details</v>
      </c>
      <c r="B85" s="50"/>
      <c r="C85" s="270"/>
      <c r="D85" s="270"/>
      <c r="E85" s="270"/>
      <c r="F85" s="270"/>
      <c r="G85" s="270"/>
      <c r="H85" s="270"/>
      <c r="I85" s="270"/>
    </row>
    <row r="86" spans="1:9" ht="15.75" customHeight="1">
      <c r="A86" s="78" t="str">
        <f t="shared" si="0"/>
        <v>Onion</v>
      </c>
      <c r="B86" s="50"/>
      <c r="C86" s="270">
        <f t="shared" ref="C86:I86" si="23">$B86*C33</f>
        <v>0</v>
      </c>
      <c r="D86" s="270">
        <f t="shared" si="23"/>
        <v>0</v>
      </c>
      <c r="E86" s="270">
        <f t="shared" si="23"/>
        <v>0</v>
      </c>
      <c r="F86" s="270">
        <f t="shared" si="23"/>
        <v>0</v>
      </c>
      <c r="G86" s="270">
        <f t="shared" si="23"/>
        <v>0</v>
      </c>
      <c r="H86" s="270">
        <f t="shared" si="23"/>
        <v>0</v>
      </c>
      <c r="I86" s="270">
        <f t="shared" si="23"/>
        <v>0</v>
      </c>
    </row>
    <row r="87" spans="1:9" ht="15.75" customHeight="1">
      <c r="A87" s="78" t="str">
        <f t="shared" si="0"/>
        <v>Tomato</v>
      </c>
      <c r="B87" s="50"/>
      <c r="C87" s="270">
        <f t="shared" ref="C87:I87" si="24">$B87*C34</f>
        <v>0</v>
      </c>
      <c r="D87" s="270">
        <f t="shared" si="24"/>
        <v>0</v>
      </c>
      <c r="E87" s="270">
        <f t="shared" si="24"/>
        <v>0</v>
      </c>
      <c r="F87" s="270">
        <f t="shared" si="24"/>
        <v>0</v>
      </c>
      <c r="G87" s="270">
        <f t="shared" si="24"/>
        <v>0</v>
      </c>
      <c r="H87" s="270">
        <f t="shared" si="24"/>
        <v>0</v>
      </c>
      <c r="I87" s="270">
        <f t="shared" si="24"/>
        <v>0</v>
      </c>
    </row>
    <row r="88" spans="1:9" ht="15.75" customHeight="1">
      <c r="A88" s="78" t="str">
        <f t="shared" si="0"/>
        <v>Okra</v>
      </c>
      <c r="B88" s="50"/>
      <c r="C88" s="270">
        <f t="shared" ref="C88:I88" si="25">$B88*C35</f>
        <v>0</v>
      </c>
      <c r="D88" s="270">
        <f t="shared" si="25"/>
        <v>0</v>
      </c>
      <c r="E88" s="270">
        <f t="shared" si="25"/>
        <v>0</v>
      </c>
      <c r="F88" s="270">
        <f t="shared" si="25"/>
        <v>0</v>
      </c>
      <c r="G88" s="270">
        <f t="shared" si="25"/>
        <v>0</v>
      </c>
      <c r="H88" s="270">
        <f t="shared" si="25"/>
        <v>0</v>
      </c>
      <c r="I88" s="270">
        <f t="shared" si="25"/>
        <v>0</v>
      </c>
    </row>
    <row r="89" spans="1:9" ht="15.75" customHeight="1">
      <c r="A89" s="78" t="str">
        <f t="shared" si="0"/>
        <v>Chilli</v>
      </c>
      <c r="B89" s="50"/>
      <c r="C89" s="270">
        <f t="shared" ref="C89:I89" si="26">$B89*C36</f>
        <v>0</v>
      </c>
      <c r="D89" s="270">
        <f t="shared" si="26"/>
        <v>0</v>
      </c>
      <c r="E89" s="270">
        <f t="shared" si="26"/>
        <v>0</v>
      </c>
      <c r="F89" s="270">
        <f t="shared" si="26"/>
        <v>0</v>
      </c>
      <c r="G89" s="270">
        <f t="shared" si="26"/>
        <v>0</v>
      </c>
      <c r="H89" s="270">
        <f t="shared" si="26"/>
        <v>0</v>
      </c>
      <c r="I89" s="270">
        <f t="shared" si="26"/>
        <v>0</v>
      </c>
    </row>
    <row r="90" spans="1:9" ht="15.75" customHeight="1">
      <c r="A90" s="78" t="str">
        <f t="shared" si="0"/>
        <v>Potato</v>
      </c>
      <c r="B90" s="50"/>
      <c r="C90" s="270">
        <f t="shared" ref="C90:I90" si="27">$B90*C37</f>
        <v>0</v>
      </c>
      <c r="D90" s="270">
        <f t="shared" si="27"/>
        <v>0</v>
      </c>
      <c r="E90" s="270">
        <f t="shared" si="27"/>
        <v>0</v>
      </c>
      <c r="F90" s="270">
        <f t="shared" si="27"/>
        <v>0</v>
      </c>
      <c r="G90" s="270">
        <f t="shared" si="27"/>
        <v>0</v>
      </c>
      <c r="H90" s="270">
        <f t="shared" si="27"/>
        <v>0</v>
      </c>
      <c r="I90" s="270">
        <f t="shared" si="27"/>
        <v>0</v>
      </c>
    </row>
    <row r="91" spans="1:9" ht="15.75" customHeight="1">
      <c r="A91" s="78">
        <f t="shared" si="0"/>
        <v>0</v>
      </c>
      <c r="B91" s="50"/>
      <c r="C91" s="270">
        <f t="shared" ref="C91:I91" si="28">$B91*C38</f>
        <v>0</v>
      </c>
      <c r="D91" s="270">
        <f t="shared" si="28"/>
        <v>0</v>
      </c>
      <c r="E91" s="270">
        <f t="shared" si="28"/>
        <v>0</v>
      </c>
      <c r="F91" s="270">
        <f t="shared" si="28"/>
        <v>0</v>
      </c>
      <c r="G91" s="270">
        <f t="shared" si="28"/>
        <v>0</v>
      </c>
      <c r="H91" s="270">
        <f t="shared" si="28"/>
        <v>0</v>
      </c>
      <c r="I91" s="270">
        <f t="shared" si="28"/>
        <v>0</v>
      </c>
    </row>
    <row r="92" spans="1:9" ht="15.75" customHeight="1">
      <c r="A92" s="78">
        <f t="shared" si="0"/>
        <v>0</v>
      </c>
      <c r="B92" s="50"/>
      <c r="C92" s="270">
        <f t="shared" ref="C92:I92" si="29">$B92*C39</f>
        <v>0</v>
      </c>
      <c r="D92" s="270">
        <f t="shared" si="29"/>
        <v>0</v>
      </c>
      <c r="E92" s="270">
        <f t="shared" si="29"/>
        <v>0</v>
      </c>
      <c r="F92" s="270">
        <f t="shared" si="29"/>
        <v>0</v>
      </c>
      <c r="G92" s="270">
        <f t="shared" si="29"/>
        <v>0</v>
      </c>
      <c r="H92" s="270">
        <f t="shared" si="29"/>
        <v>0</v>
      </c>
      <c r="I92" s="270">
        <f t="shared" si="29"/>
        <v>0</v>
      </c>
    </row>
    <row r="93" spans="1:9" ht="15.75" customHeight="1">
      <c r="A93" s="78">
        <f t="shared" si="0"/>
        <v>0</v>
      </c>
      <c r="B93" s="50"/>
      <c r="C93" s="270">
        <f t="shared" ref="C93:I93" si="30">$B93*C40</f>
        <v>0</v>
      </c>
      <c r="D93" s="270">
        <f t="shared" si="30"/>
        <v>0</v>
      </c>
      <c r="E93" s="270">
        <f t="shared" si="30"/>
        <v>0</v>
      </c>
      <c r="F93" s="270">
        <f t="shared" si="30"/>
        <v>0</v>
      </c>
      <c r="G93" s="270">
        <f t="shared" si="30"/>
        <v>0</v>
      </c>
      <c r="H93" s="270">
        <f t="shared" si="30"/>
        <v>0</v>
      </c>
      <c r="I93" s="270">
        <f t="shared" si="30"/>
        <v>0</v>
      </c>
    </row>
    <row r="94" spans="1:9" ht="15.75" customHeight="1">
      <c r="A94" s="78">
        <f t="shared" si="0"/>
        <v>0</v>
      </c>
      <c r="B94" s="50"/>
      <c r="C94" s="270">
        <f t="shared" ref="C94:I94" si="31">$B94*C41</f>
        <v>0</v>
      </c>
      <c r="D94" s="270">
        <f t="shared" si="31"/>
        <v>0</v>
      </c>
      <c r="E94" s="270">
        <f t="shared" si="31"/>
        <v>0</v>
      </c>
      <c r="F94" s="270">
        <f t="shared" si="31"/>
        <v>0</v>
      </c>
      <c r="G94" s="270">
        <f t="shared" si="31"/>
        <v>0</v>
      </c>
      <c r="H94" s="270">
        <f t="shared" si="31"/>
        <v>0</v>
      </c>
      <c r="I94" s="270">
        <f t="shared" si="31"/>
        <v>0</v>
      </c>
    </row>
    <row r="95" spans="1:9" ht="15.75" customHeight="1">
      <c r="A95" s="78" t="str">
        <f t="shared" si="0"/>
        <v>Onion</v>
      </c>
      <c r="B95" s="50"/>
      <c r="C95" s="270">
        <f t="shared" ref="C95:I95" si="32">$B95*C42</f>
        <v>0</v>
      </c>
      <c r="D95" s="270">
        <f t="shared" si="32"/>
        <v>0</v>
      </c>
      <c r="E95" s="270">
        <f t="shared" si="32"/>
        <v>0</v>
      </c>
      <c r="F95" s="270">
        <f t="shared" si="32"/>
        <v>0</v>
      </c>
      <c r="G95" s="270">
        <f t="shared" si="32"/>
        <v>0</v>
      </c>
      <c r="H95" s="270">
        <f t="shared" si="32"/>
        <v>0</v>
      </c>
      <c r="I95" s="270">
        <f t="shared" si="32"/>
        <v>0</v>
      </c>
    </row>
    <row r="96" spans="1:9" ht="15.75" customHeight="1">
      <c r="A96" s="78" t="str">
        <f t="shared" si="0"/>
        <v>Tomato</v>
      </c>
      <c r="B96" s="50"/>
      <c r="C96" s="270">
        <f t="shared" ref="C96:I96" si="33">$B96*C43</f>
        <v>0</v>
      </c>
      <c r="D96" s="270">
        <f t="shared" si="33"/>
        <v>0</v>
      </c>
      <c r="E96" s="270">
        <f t="shared" si="33"/>
        <v>0</v>
      </c>
      <c r="F96" s="270">
        <f t="shared" si="33"/>
        <v>0</v>
      </c>
      <c r="G96" s="270">
        <f t="shared" si="33"/>
        <v>0</v>
      </c>
      <c r="H96" s="270">
        <f t="shared" si="33"/>
        <v>0</v>
      </c>
      <c r="I96" s="270">
        <f t="shared" si="33"/>
        <v>0</v>
      </c>
    </row>
    <row r="97" spans="1:9" ht="15.75" customHeight="1">
      <c r="A97" s="78" t="str">
        <f t="shared" si="0"/>
        <v>Okra</v>
      </c>
      <c r="B97" s="50"/>
      <c r="C97" s="270">
        <f t="shared" ref="C97:I97" si="34">$B97*C44</f>
        <v>0</v>
      </c>
      <c r="D97" s="270">
        <f t="shared" si="34"/>
        <v>0</v>
      </c>
      <c r="E97" s="270">
        <f t="shared" si="34"/>
        <v>0</v>
      </c>
      <c r="F97" s="270">
        <f t="shared" si="34"/>
        <v>0</v>
      </c>
      <c r="G97" s="270">
        <f t="shared" si="34"/>
        <v>0</v>
      </c>
      <c r="H97" s="270">
        <f t="shared" si="34"/>
        <v>0</v>
      </c>
      <c r="I97" s="270">
        <f t="shared" si="34"/>
        <v>0</v>
      </c>
    </row>
    <row r="98" spans="1:9" ht="15.75" customHeight="1">
      <c r="A98" s="78" t="str">
        <f t="shared" si="0"/>
        <v>Chilli</v>
      </c>
      <c r="B98" s="50"/>
      <c r="C98" s="270">
        <f t="shared" ref="C98:I98" si="35">$B98*C45</f>
        <v>0</v>
      </c>
      <c r="D98" s="270">
        <f t="shared" si="35"/>
        <v>0</v>
      </c>
      <c r="E98" s="270">
        <f t="shared" si="35"/>
        <v>0</v>
      </c>
      <c r="F98" s="270">
        <f t="shared" si="35"/>
        <v>0</v>
      </c>
      <c r="G98" s="270">
        <f t="shared" si="35"/>
        <v>0</v>
      </c>
      <c r="H98" s="270">
        <f t="shared" si="35"/>
        <v>0</v>
      </c>
      <c r="I98" s="270">
        <f t="shared" si="35"/>
        <v>0</v>
      </c>
    </row>
    <row r="99" spans="1:9" ht="15.75" customHeight="1">
      <c r="A99" s="78" t="str">
        <f t="shared" si="0"/>
        <v>Brinjal</v>
      </c>
      <c r="B99" s="50"/>
      <c r="C99" s="270">
        <f t="shared" ref="C99:I99" si="36">$B99*C46</f>
        <v>0</v>
      </c>
      <c r="D99" s="270">
        <f t="shared" si="36"/>
        <v>0</v>
      </c>
      <c r="E99" s="270">
        <f t="shared" si="36"/>
        <v>0</v>
      </c>
      <c r="F99" s="270">
        <f t="shared" si="36"/>
        <v>0</v>
      </c>
      <c r="G99" s="270">
        <f t="shared" si="36"/>
        <v>0</v>
      </c>
      <c r="H99" s="270">
        <f t="shared" si="36"/>
        <v>0</v>
      </c>
      <c r="I99" s="270">
        <f t="shared" si="36"/>
        <v>0</v>
      </c>
    </row>
    <row r="100" spans="1:9" ht="15.75" customHeight="1">
      <c r="A100" s="78">
        <f t="shared" si="0"/>
        <v>0</v>
      </c>
      <c r="B100" s="50"/>
      <c r="C100" s="270">
        <f t="shared" ref="C100:I100" si="37">$B100*C47</f>
        <v>0</v>
      </c>
      <c r="D100" s="270">
        <f t="shared" si="37"/>
        <v>0</v>
      </c>
      <c r="E100" s="270">
        <f t="shared" si="37"/>
        <v>0</v>
      </c>
      <c r="F100" s="270">
        <f t="shared" si="37"/>
        <v>0</v>
      </c>
      <c r="G100" s="270">
        <f t="shared" si="37"/>
        <v>0</v>
      </c>
      <c r="H100" s="270">
        <f t="shared" si="37"/>
        <v>0</v>
      </c>
      <c r="I100" s="270">
        <f t="shared" si="37"/>
        <v>0</v>
      </c>
    </row>
    <row r="101" spans="1:9" ht="15.75" customHeight="1">
      <c r="A101" s="78">
        <f t="shared" si="0"/>
        <v>0</v>
      </c>
      <c r="B101" s="50"/>
      <c r="C101" s="270">
        <f t="shared" ref="C101:I101" si="38">$B101*C48</f>
        <v>0</v>
      </c>
      <c r="D101" s="270">
        <f t="shared" si="38"/>
        <v>0</v>
      </c>
      <c r="E101" s="270">
        <f t="shared" si="38"/>
        <v>0</v>
      </c>
      <c r="F101" s="270">
        <f t="shared" si="38"/>
        <v>0</v>
      </c>
      <c r="G101" s="270">
        <f t="shared" si="38"/>
        <v>0</v>
      </c>
      <c r="H101" s="270">
        <f t="shared" si="38"/>
        <v>0</v>
      </c>
      <c r="I101" s="270">
        <f t="shared" si="38"/>
        <v>0</v>
      </c>
    </row>
    <row r="102" spans="1:9" ht="15.75" customHeight="1">
      <c r="A102" s="78">
        <f t="shared" si="0"/>
        <v>0</v>
      </c>
      <c r="B102" s="50"/>
      <c r="C102" s="270">
        <f t="shared" ref="C102:I102" si="39">$B102*C49</f>
        <v>0</v>
      </c>
      <c r="D102" s="270">
        <f t="shared" si="39"/>
        <v>0</v>
      </c>
      <c r="E102" s="270">
        <f t="shared" si="39"/>
        <v>0</v>
      </c>
      <c r="F102" s="270">
        <f t="shared" si="39"/>
        <v>0</v>
      </c>
      <c r="G102" s="270">
        <f t="shared" si="39"/>
        <v>0</v>
      </c>
      <c r="H102" s="270">
        <f t="shared" si="39"/>
        <v>0</v>
      </c>
      <c r="I102" s="270">
        <f t="shared" si="39"/>
        <v>0</v>
      </c>
    </row>
    <row r="103" spans="1:9" ht="15.75" customHeight="1">
      <c r="A103" s="78">
        <f t="shared" si="0"/>
        <v>0</v>
      </c>
      <c r="B103" s="50"/>
      <c r="C103" s="270">
        <f t="shared" ref="C103:I103" si="40">$B103*C50</f>
        <v>0</v>
      </c>
      <c r="D103" s="270">
        <f t="shared" si="40"/>
        <v>0</v>
      </c>
      <c r="E103" s="270">
        <f t="shared" si="40"/>
        <v>0</v>
      </c>
      <c r="F103" s="270">
        <f t="shared" si="40"/>
        <v>0</v>
      </c>
      <c r="G103" s="270">
        <f t="shared" si="40"/>
        <v>0</v>
      </c>
      <c r="H103" s="270">
        <f t="shared" si="40"/>
        <v>0</v>
      </c>
      <c r="I103" s="270">
        <f t="shared" si="40"/>
        <v>0</v>
      </c>
    </row>
    <row r="104" spans="1:9" ht="15.75" customHeight="1">
      <c r="A104" s="78">
        <f t="shared" si="0"/>
        <v>0</v>
      </c>
      <c r="B104" s="50"/>
      <c r="C104" s="270">
        <f t="shared" ref="C104:I104" si="41">$B104*C51</f>
        <v>0</v>
      </c>
      <c r="D104" s="270">
        <f t="shared" si="41"/>
        <v>0</v>
      </c>
      <c r="E104" s="270">
        <f t="shared" si="41"/>
        <v>0</v>
      </c>
      <c r="F104" s="270">
        <f t="shared" si="41"/>
        <v>0</v>
      </c>
      <c r="G104" s="270">
        <f t="shared" si="41"/>
        <v>0</v>
      </c>
      <c r="H104" s="270">
        <f t="shared" si="41"/>
        <v>0</v>
      </c>
      <c r="I104" s="270">
        <f t="shared" si="41"/>
        <v>0</v>
      </c>
    </row>
    <row r="105" spans="1:9" ht="15.75" customHeight="1">
      <c r="A105" s="78">
        <f t="shared" si="0"/>
        <v>0</v>
      </c>
      <c r="B105" s="50"/>
      <c r="C105" s="270">
        <f t="shared" ref="C105:I105" si="42">$B105*C52</f>
        <v>0</v>
      </c>
      <c r="D105" s="270">
        <f t="shared" si="42"/>
        <v>0</v>
      </c>
      <c r="E105" s="270">
        <f t="shared" si="42"/>
        <v>0</v>
      </c>
      <c r="F105" s="270">
        <f t="shared" si="42"/>
        <v>0</v>
      </c>
      <c r="G105" s="270">
        <f t="shared" si="42"/>
        <v>0</v>
      </c>
      <c r="H105" s="270">
        <f t="shared" si="42"/>
        <v>0</v>
      </c>
      <c r="I105" s="270">
        <f t="shared" si="42"/>
        <v>0</v>
      </c>
    </row>
    <row r="106" spans="1:9" ht="15.75" customHeight="1">
      <c r="A106" s="78">
        <f t="shared" si="0"/>
        <v>0</v>
      </c>
      <c r="B106" s="50"/>
      <c r="C106" s="270">
        <f t="shared" ref="C106:I106" si="43">$B106*C53</f>
        <v>0</v>
      </c>
      <c r="D106" s="270">
        <f t="shared" si="43"/>
        <v>0</v>
      </c>
      <c r="E106" s="270">
        <f t="shared" si="43"/>
        <v>0</v>
      </c>
      <c r="F106" s="270">
        <f t="shared" si="43"/>
        <v>0</v>
      </c>
      <c r="G106" s="270">
        <f t="shared" si="43"/>
        <v>0</v>
      </c>
      <c r="H106" s="270">
        <f t="shared" si="43"/>
        <v>0</v>
      </c>
      <c r="I106" s="270">
        <f t="shared" si="43"/>
        <v>0</v>
      </c>
    </row>
    <row r="107" spans="1:9" ht="15.75" customHeight="1">
      <c r="A107" s="78" t="str">
        <f t="shared" si="0"/>
        <v>Pomegranate</v>
      </c>
      <c r="B107" s="50"/>
      <c r="C107" s="270">
        <f t="shared" ref="C107:I107" si="44">$B107*C54</f>
        <v>0</v>
      </c>
      <c r="D107" s="270">
        <f t="shared" si="44"/>
        <v>0</v>
      </c>
      <c r="E107" s="270">
        <f t="shared" si="44"/>
        <v>0</v>
      </c>
      <c r="F107" s="270">
        <f t="shared" si="44"/>
        <v>0</v>
      </c>
      <c r="G107" s="270">
        <f t="shared" si="44"/>
        <v>0</v>
      </c>
      <c r="H107" s="270">
        <f t="shared" si="44"/>
        <v>0</v>
      </c>
      <c r="I107" s="270">
        <f t="shared" si="44"/>
        <v>0</v>
      </c>
    </row>
    <row r="108" spans="1:9" ht="15.75" customHeight="1">
      <c r="A108" s="78" t="str">
        <f t="shared" si="0"/>
        <v>Custard Apple</v>
      </c>
      <c r="B108" s="50"/>
      <c r="C108" s="270">
        <f t="shared" ref="C108:I108" si="45">$B108*C55</f>
        <v>0</v>
      </c>
      <c r="D108" s="270">
        <f t="shared" si="45"/>
        <v>0</v>
      </c>
      <c r="E108" s="270">
        <f t="shared" si="45"/>
        <v>0</v>
      </c>
      <c r="F108" s="270">
        <f t="shared" si="45"/>
        <v>0</v>
      </c>
      <c r="G108" s="270">
        <f t="shared" si="45"/>
        <v>0</v>
      </c>
      <c r="H108" s="270">
        <f t="shared" si="45"/>
        <v>0</v>
      </c>
      <c r="I108" s="270">
        <f t="shared" si="45"/>
        <v>0</v>
      </c>
    </row>
    <row r="109" spans="1:9" ht="15.75" customHeight="1">
      <c r="A109" s="78" t="str">
        <f t="shared" si="0"/>
        <v>Guava</v>
      </c>
      <c r="B109" s="50"/>
      <c r="C109" s="270">
        <f t="shared" ref="C109:I109" si="46">$B109*C56</f>
        <v>0</v>
      </c>
      <c r="D109" s="270">
        <f t="shared" si="46"/>
        <v>0</v>
      </c>
      <c r="E109" s="270">
        <f t="shared" si="46"/>
        <v>0</v>
      </c>
      <c r="F109" s="270">
        <f t="shared" si="46"/>
        <v>0</v>
      </c>
      <c r="G109" s="270">
        <f t="shared" si="46"/>
        <v>0</v>
      </c>
      <c r="H109" s="270">
        <f t="shared" si="46"/>
        <v>0</v>
      </c>
      <c r="I109" s="270">
        <f t="shared" si="46"/>
        <v>0</v>
      </c>
    </row>
    <row r="110" spans="1:9" ht="15.75" customHeight="1">
      <c r="A110" s="78" t="str">
        <f t="shared" si="0"/>
        <v>Citrus</v>
      </c>
      <c r="B110" s="50"/>
      <c r="C110" s="270">
        <f t="shared" ref="C110:I110" si="47">$B110*C57</f>
        <v>0</v>
      </c>
      <c r="D110" s="270">
        <f t="shared" si="47"/>
        <v>0</v>
      </c>
      <c r="E110" s="270">
        <f t="shared" si="47"/>
        <v>0</v>
      </c>
      <c r="F110" s="270">
        <f t="shared" si="47"/>
        <v>0</v>
      </c>
      <c r="G110" s="270">
        <f t="shared" si="47"/>
        <v>0</v>
      </c>
      <c r="H110" s="270">
        <f t="shared" si="47"/>
        <v>0</v>
      </c>
      <c r="I110" s="270">
        <f t="shared" si="47"/>
        <v>0</v>
      </c>
    </row>
    <row r="111" spans="1:9" ht="15.75" customHeight="1">
      <c r="A111" s="78"/>
      <c r="B111" s="50"/>
      <c r="C111" s="270"/>
      <c r="D111" s="270"/>
      <c r="E111" s="270"/>
      <c r="F111" s="270"/>
      <c r="G111" s="270"/>
      <c r="H111" s="270"/>
      <c r="I111" s="270"/>
    </row>
    <row r="112" spans="1:9" ht="15.75" customHeight="1">
      <c r="A112" s="78"/>
      <c r="B112" s="50"/>
      <c r="C112" s="270"/>
      <c r="D112" s="270"/>
      <c r="E112" s="270"/>
      <c r="F112" s="270"/>
      <c r="G112" s="270"/>
      <c r="H112" s="270"/>
      <c r="I112" s="270"/>
    </row>
    <row r="113" spans="1:23" ht="15.75" customHeight="1">
      <c r="A113" s="81" t="s">
        <v>677</v>
      </c>
      <c r="B113" s="78"/>
      <c r="C113" s="78"/>
      <c r="D113" s="78"/>
      <c r="E113" s="78"/>
      <c r="F113" s="78"/>
      <c r="G113" s="78"/>
      <c r="H113" s="78"/>
      <c r="I113" s="78"/>
    </row>
    <row r="114" spans="1:23" ht="15.75" customHeight="1">
      <c r="A114" s="78" t="s">
        <v>678</v>
      </c>
      <c r="B114" s="50">
        <v>100</v>
      </c>
      <c r="C114" s="270">
        <f t="shared" ref="C114:I114" si="48">SUM(C62:C110)*$B$114</f>
        <v>0</v>
      </c>
      <c r="D114" s="270">
        <f t="shared" si="48"/>
        <v>0</v>
      </c>
      <c r="E114" s="270">
        <f t="shared" si="48"/>
        <v>0</v>
      </c>
      <c r="F114" s="270">
        <f t="shared" si="48"/>
        <v>0</v>
      </c>
      <c r="G114" s="270">
        <f t="shared" si="48"/>
        <v>0</v>
      </c>
      <c r="H114" s="270">
        <f t="shared" si="48"/>
        <v>0</v>
      </c>
      <c r="I114" s="270">
        <f t="shared" si="48"/>
        <v>0</v>
      </c>
    </row>
    <row r="115" spans="1:23" ht="15.75" customHeight="1">
      <c r="A115" s="78" t="s">
        <v>679</v>
      </c>
      <c r="B115" s="50">
        <v>30</v>
      </c>
      <c r="C115" s="270">
        <f t="shared" ref="C115:I115" si="49">SUM(C62:C110)*$B$115</f>
        <v>0</v>
      </c>
      <c r="D115" s="270">
        <f t="shared" si="49"/>
        <v>0</v>
      </c>
      <c r="E115" s="270">
        <f t="shared" si="49"/>
        <v>0</v>
      </c>
      <c r="F115" s="270">
        <f t="shared" si="49"/>
        <v>0</v>
      </c>
      <c r="G115" s="270">
        <f t="shared" si="49"/>
        <v>0</v>
      </c>
      <c r="H115" s="270">
        <f t="shared" si="49"/>
        <v>0</v>
      </c>
      <c r="I115" s="270">
        <f t="shared" si="49"/>
        <v>0</v>
      </c>
    </row>
    <row r="116" spans="1:23" ht="15.75" customHeight="1">
      <c r="A116" s="78" t="s">
        <v>680</v>
      </c>
      <c r="B116" s="50">
        <v>30</v>
      </c>
      <c r="C116" s="270">
        <f t="shared" ref="C116:I116" si="50">SUM(C62:C110)*$B$116</f>
        <v>0</v>
      </c>
      <c r="D116" s="270">
        <f t="shared" si="50"/>
        <v>0</v>
      </c>
      <c r="E116" s="270">
        <f t="shared" si="50"/>
        <v>0</v>
      </c>
      <c r="F116" s="270">
        <f t="shared" si="50"/>
        <v>0</v>
      </c>
      <c r="G116" s="270">
        <f t="shared" si="50"/>
        <v>0</v>
      </c>
      <c r="H116" s="270">
        <f t="shared" si="50"/>
        <v>0</v>
      </c>
      <c r="I116" s="270">
        <f t="shared" si="50"/>
        <v>0</v>
      </c>
    </row>
    <row r="117" spans="1:23" ht="15.75" customHeight="1">
      <c r="A117" s="81" t="s">
        <v>681</v>
      </c>
      <c r="B117" s="50"/>
      <c r="C117" s="78"/>
      <c r="D117" s="78"/>
      <c r="E117" s="78"/>
      <c r="F117" s="78"/>
      <c r="G117" s="78"/>
      <c r="H117" s="78"/>
      <c r="I117" s="78"/>
    </row>
    <row r="118" spans="1:23" ht="15.75" customHeight="1">
      <c r="A118" s="78" t="s">
        <v>682</v>
      </c>
      <c r="B118" s="50">
        <v>0.2</v>
      </c>
      <c r="C118" s="270">
        <f t="shared" ref="C118:I118" si="51">SUM(C62:C110)*$B$118</f>
        <v>0</v>
      </c>
      <c r="D118" s="270">
        <f t="shared" si="51"/>
        <v>0</v>
      </c>
      <c r="E118" s="270">
        <f t="shared" si="51"/>
        <v>0</v>
      </c>
      <c r="F118" s="270">
        <f t="shared" si="51"/>
        <v>0</v>
      </c>
      <c r="G118" s="270">
        <f t="shared" si="51"/>
        <v>0</v>
      </c>
      <c r="H118" s="270">
        <f t="shared" si="51"/>
        <v>0</v>
      </c>
      <c r="I118" s="270">
        <f t="shared" si="51"/>
        <v>0</v>
      </c>
    </row>
    <row r="119" spans="1:23" ht="15.75" customHeight="1">
      <c r="A119" s="78" t="s">
        <v>683</v>
      </c>
      <c r="B119" s="50">
        <v>0.5</v>
      </c>
      <c r="C119" s="270">
        <f t="shared" ref="C119:I119" si="52">SUM(C62:C110)*$B$119</f>
        <v>0</v>
      </c>
      <c r="D119" s="270">
        <f t="shared" si="52"/>
        <v>0</v>
      </c>
      <c r="E119" s="270">
        <f t="shared" si="52"/>
        <v>0</v>
      </c>
      <c r="F119" s="270">
        <f t="shared" si="52"/>
        <v>0</v>
      </c>
      <c r="G119" s="270">
        <f t="shared" si="52"/>
        <v>0</v>
      </c>
      <c r="H119" s="270">
        <f t="shared" si="52"/>
        <v>0</v>
      </c>
      <c r="I119" s="270">
        <f t="shared" si="52"/>
        <v>0</v>
      </c>
    </row>
    <row r="120" spans="1:23" ht="15.75" customHeight="1"/>
    <row r="121" spans="1:23" ht="15.75" customHeight="1"/>
    <row r="122" spans="1:23" ht="15.75" customHeight="1">
      <c r="A122" s="394" t="s">
        <v>684</v>
      </c>
      <c r="B122" s="378"/>
      <c r="C122" s="378"/>
      <c r="D122" s="378"/>
      <c r="E122" s="378"/>
      <c r="F122" s="378"/>
      <c r="G122" s="378"/>
      <c r="H122" s="378"/>
      <c r="I122" s="378"/>
      <c r="J122" s="378"/>
    </row>
    <row r="123" spans="1:23" ht="15.75" customHeight="1">
      <c r="A123" s="26"/>
      <c r="B123" s="26"/>
      <c r="C123" s="26"/>
      <c r="D123" s="26"/>
      <c r="E123" s="26"/>
      <c r="F123" s="26"/>
      <c r="G123" s="26"/>
      <c r="H123" s="26"/>
    </row>
    <row r="124" spans="1:23" ht="15.75" customHeight="1">
      <c r="A124" s="97"/>
      <c r="B124" s="97"/>
      <c r="C124" s="97"/>
      <c r="D124" s="271">
        <v>1</v>
      </c>
      <c r="E124" s="272">
        <f t="shared" ref="E124:J124" si="53">(D124*5%)+D124</f>
        <v>1.05</v>
      </c>
      <c r="F124" s="272">
        <f t="shared" si="53"/>
        <v>1.1025</v>
      </c>
      <c r="G124" s="272">
        <f t="shared" si="53"/>
        <v>1.1576250000000001</v>
      </c>
      <c r="H124" s="272">
        <f t="shared" si="53"/>
        <v>1.2155062500000002</v>
      </c>
      <c r="I124" s="272">
        <f t="shared" si="53"/>
        <v>1.2762815625000004</v>
      </c>
      <c r="J124" s="272">
        <f t="shared" si="53"/>
        <v>1.3400956406250004</v>
      </c>
      <c r="K124" s="73"/>
      <c r="U124" s="73"/>
      <c r="V124" s="73"/>
      <c r="W124" s="73"/>
    </row>
    <row r="125" spans="1:23" ht="15.75" customHeight="1">
      <c r="A125" s="73"/>
      <c r="B125" s="73"/>
      <c r="C125" s="73"/>
      <c r="D125" s="73"/>
      <c r="E125" s="73"/>
      <c r="F125" s="73"/>
      <c r="G125" s="73"/>
      <c r="H125" s="73"/>
      <c r="I125" s="73"/>
      <c r="J125" s="73"/>
      <c r="K125" s="73"/>
      <c r="U125" s="73"/>
      <c r="V125" s="73"/>
      <c r="W125" s="73"/>
    </row>
    <row r="126" spans="1:23" ht="15.75" customHeight="1">
      <c r="A126" s="76" t="s">
        <v>150</v>
      </c>
      <c r="B126" s="76" t="s">
        <v>121</v>
      </c>
      <c r="C126" s="76" t="s">
        <v>131</v>
      </c>
      <c r="D126" s="77" t="s">
        <v>153</v>
      </c>
      <c r="E126" s="77" t="s">
        <v>154</v>
      </c>
      <c r="F126" s="77" t="s">
        <v>155</v>
      </c>
      <c r="G126" s="77" t="s">
        <v>156</v>
      </c>
      <c r="H126" s="77" t="s">
        <v>157</v>
      </c>
      <c r="I126" s="77" t="s">
        <v>158</v>
      </c>
      <c r="J126" s="77" t="s">
        <v>159</v>
      </c>
      <c r="K126" s="73"/>
      <c r="U126" s="73"/>
      <c r="V126" s="73"/>
      <c r="W126" s="73"/>
    </row>
    <row r="127" spans="1:23" ht="15.75" customHeight="1">
      <c r="A127" s="81" t="s">
        <v>350</v>
      </c>
      <c r="B127" s="78"/>
      <c r="C127" s="78"/>
      <c r="D127" s="78"/>
      <c r="E127" s="78"/>
      <c r="F127" s="78"/>
      <c r="G127" s="78"/>
      <c r="H127" s="78"/>
      <c r="I127" s="78"/>
      <c r="J127" s="78"/>
      <c r="K127" s="73"/>
      <c r="U127" s="73"/>
      <c r="V127" s="73"/>
      <c r="W127" s="73"/>
    </row>
    <row r="128" spans="1:23" ht="15.75" customHeight="1">
      <c r="A128" s="78" t="s">
        <v>685</v>
      </c>
      <c r="B128" s="78"/>
      <c r="C128" s="78"/>
      <c r="D128" s="78"/>
      <c r="E128" s="78"/>
      <c r="F128" s="78"/>
      <c r="G128" s="78"/>
      <c r="H128" s="78"/>
      <c r="I128" s="78"/>
      <c r="J128" s="78"/>
      <c r="K128" s="73"/>
      <c r="U128" s="73"/>
      <c r="V128" s="73"/>
      <c r="W128" s="73"/>
    </row>
    <row r="129" spans="1:23" ht="15.75" customHeight="1">
      <c r="A129" s="81" t="str">
        <f t="shared" ref="A129:A179" si="54">A8</f>
        <v>Kharif Crops</v>
      </c>
      <c r="B129" s="78"/>
      <c r="C129" s="78"/>
      <c r="D129" s="78"/>
      <c r="E129" s="78"/>
      <c r="F129" s="78"/>
      <c r="G129" s="78"/>
      <c r="H129" s="78"/>
      <c r="I129" s="78"/>
      <c r="J129" s="78"/>
      <c r="K129" s="73"/>
      <c r="U129" s="73"/>
      <c r="V129" s="73"/>
      <c r="W129" s="73"/>
    </row>
    <row r="130" spans="1:23" ht="15.75" customHeight="1">
      <c r="A130" s="78" t="str">
        <f t="shared" si="54"/>
        <v>Soybean</v>
      </c>
      <c r="B130" s="78"/>
      <c r="C130" s="50">
        <v>90</v>
      </c>
      <c r="D130" s="80">
        <f>(C62*(1-'5.Closing Stock &amp; W Capital'!$D$15))*$C$130*D$124</f>
        <v>0</v>
      </c>
      <c r="E130" s="80">
        <f>(D62*(1-'5.Closing Stock &amp; W Capital'!$D$15))*$C$130*E$124</f>
        <v>0</v>
      </c>
      <c r="F130" s="80">
        <f>(E62*(1-'5.Closing Stock &amp; W Capital'!$D$15))*$C$130*F$124</f>
        <v>0</v>
      </c>
      <c r="G130" s="80">
        <f>(F62*(1-'5.Closing Stock &amp; W Capital'!$D$15))*$C$130*G$124</f>
        <v>0</v>
      </c>
      <c r="H130" s="80">
        <f>(G62*(1-'5.Closing Stock &amp; W Capital'!$D$15))*$C$130*H$124</f>
        <v>0</v>
      </c>
      <c r="I130" s="80">
        <f>(H62*(1-'5.Closing Stock &amp; W Capital'!$D$15))*$C$130*I$124</f>
        <v>0</v>
      </c>
      <c r="J130" s="80">
        <f>(I62*(1-'5.Closing Stock &amp; W Capital'!$D$15))*$C$130*J$124</f>
        <v>0</v>
      </c>
      <c r="K130" s="73"/>
      <c r="U130" s="73"/>
      <c r="V130" s="73"/>
      <c r="W130" s="73"/>
    </row>
    <row r="131" spans="1:23" ht="15.75" customHeight="1">
      <c r="A131" s="78" t="str">
        <f t="shared" si="54"/>
        <v>Red Gram/Tur</v>
      </c>
      <c r="B131" s="78"/>
      <c r="C131" s="79">
        <v>80</v>
      </c>
      <c r="D131" s="80">
        <f>(C63*(1-'5.Closing Stock &amp; W Capital'!$D$15))*$C$131*D$124</f>
        <v>0</v>
      </c>
      <c r="E131" s="80">
        <f>((D63*(1-'5.Closing Stock &amp; W Capital'!$D$15))+(C63*'5.Closing Stock &amp; W Capital'!$D$15))*$C$131*E$124</f>
        <v>0</v>
      </c>
      <c r="F131" s="80">
        <f>((E63*(1-'5.Closing Stock &amp; W Capital'!$D$15))+(D63*'5.Closing Stock &amp; W Capital'!$D$15))*$C$131*F$124</f>
        <v>0</v>
      </c>
      <c r="G131" s="80">
        <f>((F63*(1-'5.Closing Stock &amp; W Capital'!$D$15))+(E63*'5.Closing Stock &amp; W Capital'!$D$15))*$C$131*G124</f>
        <v>0</v>
      </c>
      <c r="H131" s="80">
        <f>((G63*(1-'5.Closing Stock &amp; W Capital'!$D$15))+(F63*'5.Closing Stock &amp; W Capital'!$D$15))*$C$131*H124</f>
        <v>0</v>
      </c>
      <c r="I131" s="80">
        <f>((H63*(1-'5.Closing Stock &amp; W Capital'!$D$15))+(G63*'5.Closing Stock &amp; W Capital'!$D$15))*$C$131*I124</f>
        <v>0</v>
      </c>
      <c r="J131" s="80">
        <f>((I63*(1-'5.Closing Stock &amp; W Capital'!$D$15))+(H63*'5.Closing Stock &amp; W Capital'!$D$15))*$C$131*J124</f>
        <v>0</v>
      </c>
      <c r="K131" s="73"/>
      <c r="U131" s="74"/>
      <c r="V131" s="73"/>
      <c r="W131" s="73"/>
    </row>
    <row r="132" spans="1:23" ht="15.75" customHeight="1">
      <c r="A132" s="78" t="str">
        <f t="shared" si="54"/>
        <v>Paddy/Rice</v>
      </c>
      <c r="B132" s="78"/>
      <c r="C132" s="79">
        <v>65</v>
      </c>
      <c r="D132" s="80">
        <f>(C64*(1-'5.Closing Stock &amp; W Capital'!$D$15))*$C$132*D$124</f>
        <v>0</v>
      </c>
      <c r="E132" s="80">
        <f>((D64*(1-'5.Closing Stock &amp; W Capital'!$D$15))+(C64*'5.Closing Stock &amp; W Capital'!$D$15))*$C$132*E$124</f>
        <v>0</v>
      </c>
      <c r="F132" s="80">
        <f>((E64*(1-'5.Closing Stock &amp; W Capital'!$D$15))+(D64*'5.Closing Stock &amp; W Capital'!$D$15))*$C$132*F$124</f>
        <v>0</v>
      </c>
      <c r="G132" s="80">
        <f>((F64*(1-'5.Closing Stock &amp; W Capital'!$D$15))+(E64*'5.Closing Stock &amp; W Capital'!$D$15))*$C$132*G124</f>
        <v>0</v>
      </c>
      <c r="H132" s="80">
        <f>((G64*(1-'5.Closing Stock &amp; W Capital'!$D$15))+(F64*'5.Closing Stock &amp; W Capital'!$D$15))*$C$132*H124</f>
        <v>0</v>
      </c>
      <c r="I132" s="80">
        <f>((H64*(1-'5.Closing Stock &amp; W Capital'!$D$15))+(G64*'5.Closing Stock &amp; W Capital'!$D$15))*$C$132*I124</f>
        <v>0</v>
      </c>
      <c r="J132" s="80">
        <f>((I64*(1-'5.Closing Stock &amp; W Capital'!$D$15))+(H64*'5.Closing Stock &amp; W Capital'!$D$15))*$C$132*J124</f>
        <v>0</v>
      </c>
      <c r="K132" s="73"/>
      <c r="U132" s="73"/>
      <c r="V132" s="73"/>
      <c r="W132" s="73"/>
    </row>
    <row r="133" spans="1:23" ht="15.75" customHeight="1">
      <c r="A133" s="78" t="str">
        <f t="shared" si="54"/>
        <v>Green Gram/ Moong</v>
      </c>
      <c r="B133" s="78"/>
      <c r="C133" s="79">
        <v>85</v>
      </c>
      <c r="D133" s="80">
        <f>(C65*(1-'5.Closing Stock &amp; W Capital'!$D$15))*$C$133*D$124</f>
        <v>0</v>
      </c>
      <c r="E133" s="80">
        <f>((D65*(1-'5.Closing Stock &amp; W Capital'!$D$15))+(C65*'5.Closing Stock &amp; W Capital'!$D$15))*$C$133*E$124</f>
        <v>0</v>
      </c>
      <c r="F133" s="80">
        <f>((E65*(1-'5.Closing Stock &amp; W Capital'!$D$15))+(D65*'5.Closing Stock &amp; W Capital'!$D$15))*$C$133*F$124</f>
        <v>0</v>
      </c>
      <c r="G133" s="80">
        <f>((F65*(1-'5.Closing Stock &amp; W Capital'!$D$15))+(E65*'5.Closing Stock &amp; W Capital'!$D$15))*$C$133*G$124</f>
        <v>0</v>
      </c>
      <c r="H133" s="80">
        <f>((G65*(1-'5.Closing Stock &amp; W Capital'!$D$15))+(F65*'5.Closing Stock &amp; W Capital'!$D$15))*$C$133*H$124</f>
        <v>0</v>
      </c>
      <c r="I133" s="80">
        <f>((H65*(1-'5.Closing Stock &amp; W Capital'!$D$15))+(G65*'5.Closing Stock &amp; W Capital'!$D$15))*$C$133*I$124</f>
        <v>0</v>
      </c>
      <c r="J133" s="80">
        <f>((I65*(1-'5.Closing Stock &amp; W Capital'!$D$15))+(H65*'5.Closing Stock &amp; W Capital'!$D$15))*$C$133*J$124</f>
        <v>0</v>
      </c>
      <c r="K133" s="73"/>
      <c r="U133" s="73"/>
      <c r="V133" s="73"/>
      <c r="W133" s="73"/>
    </row>
    <row r="134" spans="1:23" ht="15.75" customHeight="1">
      <c r="A134" s="78" t="str">
        <f t="shared" si="54"/>
        <v>Maize</v>
      </c>
      <c r="B134" s="78"/>
      <c r="C134" s="79">
        <v>37</v>
      </c>
      <c r="D134" s="80">
        <f>(C66*(1-'5.Closing Stock &amp; W Capital'!$D$15))*$C$134*D$124</f>
        <v>0</v>
      </c>
      <c r="E134" s="80">
        <f>((D66*(1-'5.Closing Stock &amp; W Capital'!$D$15))+(C66*'5.Closing Stock &amp; W Capital'!$D$15))*$C$135*E$124</f>
        <v>0</v>
      </c>
      <c r="F134" s="80">
        <f>((E66*(1-'5.Closing Stock &amp; W Capital'!$D$15))+(D66*'5.Closing Stock &amp; W Capital'!$D$15))*$C$135*F$124</f>
        <v>0</v>
      </c>
      <c r="G134" s="80">
        <f>((F66*(1-'5.Closing Stock &amp; W Capital'!$D$15))+(E66*'5.Closing Stock &amp; W Capital'!$D$15))*$C$135*G$124</f>
        <v>0</v>
      </c>
      <c r="H134" s="80">
        <f>((G66*(1-'5.Closing Stock &amp; W Capital'!$D$15))+(F66*'5.Closing Stock &amp; W Capital'!$D$15))*$C$135*H$124</f>
        <v>0</v>
      </c>
      <c r="I134" s="80">
        <f>((H66*(1-'5.Closing Stock &amp; W Capital'!$D$15))+(G66*'5.Closing Stock &amp; W Capital'!$D$15))*$C$135*I$124</f>
        <v>0</v>
      </c>
      <c r="J134" s="80">
        <f>((I66*(1-'5.Closing Stock &amp; W Capital'!$D$15))+(H66*'5.Closing Stock &amp; W Capital'!$D$15))*$C$135*J$124</f>
        <v>0</v>
      </c>
      <c r="K134" s="73"/>
      <c r="U134" s="73"/>
      <c r="V134" s="73"/>
      <c r="W134" s="73"/>
    </row>
    <row r="135" spans="1:23" ht="15.75" customHeight="1">
      <c r="A135" s="78" t="str">
        <f t="shared" si="54"/>
        <v>Black Gram/Udid</v>
      </c>
      <c r="B135" s="78"/>
      <c r="C135" s="79">
        <v>75</v>
      </c>
      <c r="D135" s="80">
        <f>(C67*(1-'5.Closing Stock &amp; W Capital'!$D$15))*$C$135*D$124</f>
        <v>0</v>
      </c>
      <c r="E135" s="80">
        <f>((D67*(1-'5.Closing Stock &amp; W Capital'!$D$15))+(C67*'5.Closing Stock &amp; W Capital'!$D$15))*$C$135*E$124</f>
        <v>0</v>
      </c>
      <c r="F135" s="80">
        <f>((E67*(1-'5.Closing Stock &amp; W Capital'!$D$15))+(D67*'5.Closing Stock &amp; W Capital'!$D$15))*$C$135*F$124</f>
        <v>0</v>
      </c>
      <c r="G135" s="80">
        <f>((F67*(1-'5.Closing Stock &amp; W Capital'!$D$15))+(E67*'5.Closing Stock &amp; W Capital'!$D$15))*$C$135*G$124</f>
        <v>0</v>
      </c>
      <c r="H135" s="80">
        <f>((G67*(1-'5.Closing Stock &amp; W Capital'!$D$15))+(F67*'5.Closing Stock &amp; W Capital'!$D$15))*$C$135*H$124</f>
        <v>0</v>
      </c>
      <c r="I135" s="80">
        <f>((H67*(1-'5.Closing Stock &amp; W Capital'!$D$15))+(G67*'5.Closing Stock &amp; W Capital'!$D$15))*$C$135*I$124</f>
        <v>0</v>
      </c>
      <c r="J135" s="80">
        <f>((I67*(1-'5.Closing Stock &amp; W Capital'!$D$15))+(H67*'5.Closing Stock &amp; W Capital'!$D$15))*$C$135*J$124</f>
        <v>0</v>
      </c>
      <c r="K135" s="73"/>
      <c r="U135" s="73"/>
      <c r="V135" s="73"/>
      <c r="W135" s="73"/>
    </row>
    <row r="136" spans="1:23" ht="15.75" customHeight="1">
      <c r="A136" s="78" t="str">
        <f t="shared" si="54"/>
        <v>Bajra</v>
      </c>
      <c r="B136" s="78"/>
      <c r="C136" s="79">
        <v>30</v>
      </c>
      <c r="D136" s="80">
        <f>(C68*(1-'5.Closing Stock &amp; W Capital'!$D$15))*$C$136*D$124</f>
        <v>0</v>
      </c>
      <c r="E136" s="80">
        <f>((D68*(1-'5.Closing Stock &amp; W Capital'!$D$15))+(C68*'5.Closing Stock &amp; W Capital'!$D$15))*$C$136*E$124</f>
        <v>0</v>
      </c>
      <c r="F136" s="80">
        <f>((E68*(1-'5.Closing Stock &amp; W Capital'!$D$15))+(D68*'5.Closing Stock &amp; W Capital'!$D$15))*$C$136*F$124</f>
        <v>0</v>
      </c>
      <c r="G136" s="80">
        <f>((F68*(1-'5.Closing Stock &amp; W Capital'!$D$15))+(E68*'5.Closing Stock &amp; W Capital'!$D$15))*$C$136*G$124</f>
        <v>0</v>
      </c>
      <c r="H136" s="80">
        <f>((G68*(1-'5.Closing Stock &amp; W Capital'!$D$15))+(F68*'5.Closing Stock &amp; W Capital'!$D$15))*$C$136*H$124</f>
        <v>0</v>
      </c>
      <c r="I136" s="80">
        <f>((H68*(1-'5.Closing Stock &amp; W Capital'!$D$15))+(G68*'5.Closing Stock &amp; W Capital'!$D$15))*$C$136*I$124</f>
        <v>0</v>
      </c>
      <c r="J136" s="80">
        <f>((I68*(1-'5.Closing Stock &amp; W Capital'!$D$15))+(H68*'5.Closing Stock &amp; W Capital'!$D$15))*$C$136*J$124</f>
        <v>0</v>
      </c>
      <c r="K136" s="73"/>
      <c r="U136" s="73"/>
      <c r="V136" s="73"/>
      <c r="W136" s="73"/>
    </row>
    <row r="137" spans="1:23" ht="15.75" customHeight="1">
      <c r="A137" s="78" t="str">
        <f t="shared" si="54"/>
        <v>Jawar</v>
      </c>
      <c r="B137" s="78"/>
      <c r="C137" s="79">
        <v>30</v>
      </c>
      <c r="D137" s="80">
        <f>(C69*(1-'5.Closing Stock &amp; W Capital'!$D$15))*$C$137*D$124</f>
        <v>0</v>
      </c>
      <c r="E137" s="80">
        <f>((D69*(1-'5.Closing Stock &amp; W Capital'!$D$15))+(C69*'5.Closing Stock &amp; W Capital'!$D$15))*$C$137*E$124</f>
        <v>0</v>
      </c>
      <c r="F137" s="80">
        <f>((E69*(1-'5.Closing Stock &amp; W Capital'!$D$15))+(D69*'5.Closing Stock &amp; W Capital'!$D$15))*$C$137*F$124</f>
        <v>0</v>
      </c>
      <c r="G137" s="80">
        <f>((F69*(1-'5.Closing Stock &amp; W Capital'!$D$15))+(E69*'5.Closing Stock &amp; W Capital'!$D$15))*$C$137*G$124</f>
        <v>0</v>
      </c>
      <c r="H137" s="80">
        <f>((G69*(1-'5.Closing Stock &amp; W Capital'!$D$15))+(F69*'5.Closing Stock &amp; W Capital'!$D$15))*$C$137*H$124</f>
        <v>0</v>
      </c>
      <c r="I137" s="80">
        <f>((H69*(1-'5.Closing Stock &amp; W Capital'!$D$15))+(G69*'5.Closing Stock &amp; W Capital'!$D$15))*$C$137*I$124</f>
        <v>0</v>
      </c>
      <c r="J137" s="80">
        <f>((I69*(1-'5.Closing Stock &amp; W Capital'!$D$15))+(H69*'5.Closing Stock &amp; W Capital'!$D$15))*$C$137*J$124</f>
        <v>0</v>
      </c>
      <c r="K137" s="73"/>
      <c r="U137" s="73"/>
      <c r="V137" s="73"/>
      <c r="W137" s="73"/>
    </row>
    <row r="138" spans="1:23" ht="15.75" customHeight="1">
      <c r="A138" s="81" t="str">
        <f t="shared" si="54"/>
        <v>Rabi Crop</v>
      </c>
      <c r="B138" s="78"/>
      <c r="C138" s="79"/>
      <c r="D138" s="80"/>
      <c r="E138" s="80"/>
      <c r="F138" s="80"/>
      <c r="G138" s="80"/>
      <c r="H138" s="80"/>
      <c r="I138" s="80"/>
      <c r="J138" s="80"/>
      <c r="K138" s="73"/>
      <c r="U138" s="73"/>
      <c r="V138" s="73"/>
      <c r="W138" s="73"/>
    </row>
    <row r="139" spans="1:23" ht="15.75" customHeight="1">
      <c r="A139" s="78" t="str">
        <f t="shared" si="54"/>
        <v>Wheat</v>
      </c>
      <c r="B139" s="78"/>
      <c r="C139" s="79">
        <v>40</v>
      </c>
      <c r="D139" s="80">
        <f>(C71*(1-'5.Closing Stock &amp; W Capital'!$D$15))*$C$139*D$124</f>
        <v>0</v>
      </c>
      <c r="E139" s="80">
        <f>((D71*(1-'5.Closing Stock &amp; W Capital'!$D$15))+(C71*'5.Closing Stock &amp; W Capital'!$D$15))*$C$139*E$124</f>
        <v>0</v>
      </c>
      <c r="F139" s="80">
        <f>((E71*(1-'5.Closing Stock &amp; W Capital'!$D$15))+(D71*'5.Closing Stock &amp; W Capital'!$D$15))*$C$139*F$124</f>
        <v>0</v>
      </c>
      <c r="G139" s="80">
        <f>((F71*(1-'5.Closing Stock &amp; W Capital'!$D$15))+(E71*'5.Closing Stock &amp; W Capital'!$D$15))*$C$139*G$124</f>
        <v>0</v>
      </c>
      <c r="H139" s="80">
        <f>((G71*(1-'5.Closing Stock &amp; W Capital'!$D$15))+(F71*'5.Closing Stock &amp; W Capital'!$D$15))*$C$139*H$124</f>
        <v>0</v>
      </c>
      <c r="I139" s="80">
        <f>((H71*(1-'5.Closing Stock &amp; W Capital'!$D$15))+(G71*'5.Closing Stock &amp; W Capital'!$D$15))*$C$139*I$124</f>
        <v>0</v>
      </c>
      <c r="J139" s="80">
        <f>((I71*(1-'5.Closing Stock &amp; W Capital'!$D$15))+(H71*'5.Closing Stock &amp; W Capital'!$D$15))*$C$139*J$124</f>
        <v>0</v>
      </c>
      <c r="K139" s="73"/>
      <c r="U139" s="73"/>
      <c r="V139" s="73"/>
      <c r="W139" s="73"/>
    </row>
    <row r="140" spans="1:23" ht="15.75" customHeight="1">
      <c r="A140" s="78" t="str">
        <f t="shared" si="54"/>
        <v>Bengal Gram/Channa</v>
      </c>
      <c r="B140" s="78"/>
      <c r="C140" s="79">
        <v>75</v>
      </c>
      <c r="D140" s="80">
        <f>(C72*(1-'5.Closing Stock &amp; W Capital'!$D$15))*$C$140*D$124</f>
        <v>0</v>
      </c>
      <c r="E140" s="80">
        <f>((D72*(1-'5.Closing Stock &amp; W Capital'!$D$15))+(C72*'5.Closing Stock &amp; W Capital'!$D$15))*$C$140*E$124</f>
        <v>0</v>
      </c>
      <c r="F140" s="80">
        <f>((E72*(1-'5.Closing Stock &amp; W Capital'!$D$15))+(D72*'5.Closing Stock &amp; W Capital'!$D$15))*$C$140*F$124</f>
        <v>0</v>
      </c>
      <c r="G140" s="80">
        <f>((F72*(1-'5.Closing Stock &amp; W Capital'!$D$15))+(E72*'5.Closing Stock &amp; W Capital'!$D$15))*$C$140*G$124</f>
        <v>0</v>
      </c>
      <c r="H140" s="80">
        <f>((G72*(1-'5.Closing Stock &amp; W Capital'!$D$15))+(F72*'5.Closing Stock &amp; W Capital'!$D$15))*$C$140*H$124</f>
        <v>0</v>
      </c>
      <c r="I140" s="80">
        <f>((H72*(1-'5.Closing Stock &amp; W Capital'!$D$15))+(G72*'5.Closing Stock &amp; W Capital'!$D$15))*$C$140*I$124</f>
        <v>0</v>
      </c>
      <c r="J140" s="80">
        <f>((I72*(1-'5.Closing Stock &amp; W Capital'!$D$15))+(H72*'5.Closing Stock &amp; W Capital'!$D$15))*$C$140*J$124</f>
        <v>0</v>
      </c>
      <c r="K140" s="73"/>
      <c r="U140" s="73"/>
      <c r="V140" s="73"/>
      <c r="W140" s="73"/>
    </row>
    <row r="141" spans="1:23" ht="15.75" customHeight="1">
      <c r="A141" s="78" t="str">
        <f t="shared" si="54"/>
        <v>Jawar</v>
      </c>
      <c r="B141" s="78"/>
      <c r="C141" s="79">
        <v>27</v>
      </c>
      <c r="D141" s="80">
        <f>(C73*(1-'5.Closing Stock &amp; W Capital'!$D$15))*$C$141*D$124</f>
        <v>0</v>
      </c>
      <c r="E141" s="80">
        <f>((D73*(1-'5.Closing Stock &amp; W Capital'!$D$15))+(C73*'5.Closing Stock &amp; W Capital'!$D$15))*$C$141*E$124</f>
        <v>0</v>
      </c>
      <c r="F141" s="80">
        <f>((E73*(1-'5.Closing Stock &amp; W Capital'!$D$15))+(D73*'5.Closing Stock &amp; W Capital'!$D$15))*$C$141*F$124</f>
        <v>0</v>
      </c>
      <c r="G141" s="80">
        <f>((F73*(1-'5.Closing Stock &amp; W Capital'!$D$15))+(E73*'5.Closing Stock &amp; W Capital'!$D$15))*$C$141*G$124</f>
        <v>0</v>
      </c>
      <c r="H141" s="80">
        <f>((G73*(1-'5.Closing Stock &amp; W Capital'!$D$15))+(F73*'5.Closing Stock &amp; W Capital'!$D$15))*$C$141*H$124</f>
        <v>0</v>
      </c>
      <c r="I141" s="80">
        <f>((H73*(1-'5.Closing Stock &amp; W Capital'!$D$15))+(G73*'5.Closing Stock &amp; W Capital'!$D$15))*$C$141*I$124</f>
        <v>0</v>
      </c>
      <c r="J141" s="80">
        <f>((I73*(1-'5.Closing Stock &amp; W Capital'!$D$15))+(H73*'5.Closing Stock &amp; W Capital'!$D$15))*$C$141*J$124</f>
        <v>0</v>
      </c>
      <c r="K141" s="73"/>
      <c r="U141" s="73"/>
      <c r="V141" s="73"/>
      <c r="W141" s="73"/>
    </row>
    <row r="142" spans="1:23" ht="15.75" customHeight="1">
      <c r="A142" s="78" t="str">
        <f t="shared" si="54"/>
        <v>Maize</v>
      </c>
      <c r="B142" s="78"/>
      <c r="C142" s="79">
        <v>27</v>
      </c>
      <c r="D142" s="80">
        <f>(C74*(1-'5.Closing Stock &amp; W Capital'!$D$15))*$C$142*D$124</f>
        <v>0</v>
      </c>
      <c r="E142" s="80">
        <f>((D74*(1-'5.Closing Stock &amp; W Capital'!$D$15))+(C74*'5.Closing Stock &amp; W Capital'!$D$15))*$C$142*E$124</f>
        <v>0</v>
      </c>
      <c r="F142" s="80">
        <f>((E74*(1-'5.Closing Stock &amp; W Capital'!$D$15))+(D74*'5.Closing Stock &amp; W Capital'!$D$15))*$C$142*F$124</f>
        <v>0</v>
      </c>
      <c r="G142" s="80">
        <f>((F74*(1-'5.Closing Stock &amp; W Capital'!$D$15))+(E74*'5.Closing Stock &amp; W Capital'!$D$15))*$C$142*G$124</f>
        <v>0</v>
      </c>
      <c r="H142" s="80">
        <f>((G74*(1-'5.Closing Stock &amp; W Capital'!$D$15))+(F74*'5.Closing Stock &amp; W Capital'!$D$15))*$C$142*H$124</f>
        <v>0</v>
      </c>
      <c r="I142" s="80">
        <f>((H74*(1-'5.Closing Stock &amp; W Capital'!$D$15))+(G74*'5.Closing Stock &amp; W Capital'!$D$15))*$C$142*I$124</f>
        <v>0</v>
      </c>
      <c r="J142" s="80">
        <f>((I74*(1-'5.Closing Stock &amp; W Capital'!$D$15))+(H74*'5.Closing Stock &amp; W Capital'!$D$15))*$C$142*J$124</f>
        <v>0</v>
      </c>
      <c r="K142" s="73"/>
      <c r="U142" s="73"/>
      <c r="V142" s="73"/>
      <c r="W142" s="73"/>
    </row>
    <row r="143" spans="1:23" ht="15.75" customHeight="1">
      <c r="A143" s="78" t="str">
        <f t="shared" si="54"/>
        <v>Safflower</v>
      </c>
      <c r="B143" s="78"/>
      <c r="C143" s="79"/>
      <c r="D143" s="80">
        <f>(C75*(1-'5.Closing Stock &amp; W Capital'!$D$15))*$C$143*D$124</f>
        <v>0</v>
      </c>
      <c r="E143" s="80">
        <f>((D75*(1-'5.Closing Stock &amp; W Capital'!$D$15))+(C75*'5.Closing Stock &amp; W Capital'!$D$15))*$C$143*E$124</f>
        <v>0</v>
      </c>
      <c r="F143" s="80">
        <f>((E75*(1-'5.Closing Stock &amp; W Capital'!$D$15))+(D75*'5.Closing Stock &amp; W Capital'!$D$15))*$C$143*F$124</f>
        <v>0</v>
      </c>
      <c r="G143" s="80">
        <f>((F75*(1-'5.Closing Stock &amp; W Capital'!$D$15))+(E75*'5.Closing Stock &amp; W Capital'!$D$15))*$C$143*G$124</f>
        <v>0</v>
      </c>
      <c r="H143" s="80">
        <f>((G75*(1-'5.Closing Stock &amp; W Capital'!$D$15))+(F75*'5.Closing Stock &amp; W Capital'!$D$15))*$C$143*H$124</f>
        <v>0</v>
      </c>
      <c r="I143" s="80">
        <f>((H75*(1-'5.Closing Stock &amp; W Capital'!$D$15))+(G75*'5.Closing Stock &amp; W Capital'!$D$15))*$C$143*I$124</f>
        <v>0</v>
      </c>
      <c r="J143" s="80">
        <f>((I75*(1-'5.Closing Stock &amp; W Capital'!$D$15))+(H75*'5.Closing Stock &amp; W Capital'!$D$15))*$C$143*J$124</f>
        <v>0</v>
      </c>
      <c r="K143" s="73"/>
      <c r="U143" s="73"/>
      <c r="V143" s="73"/>
      <c r="W143" s="73"/>
    </row>
    <row r="144" spans="1:23" ht="15.75" customHeight="1">
      <c r="A144" s="78">
        <f t="shared" si="54"/>
        <v>0</v>
      </c>
      <c r="B144" s="78"/>
      <c r="C144" s="79"/>
      <c r="D144" s="80">
        <f>(C76*(1-'5.Closing Stock &amp; W Capital'!$D$15))*$C$144*D$124</f>
        <v>0</v>
      </c>
      <c r="E144" s="80">
        <f>((D76*(1-'5.Closing Stock &amp; W Capital'!$D$15))+(C76*'5.Closing Stock &amp; W Capital'!$D$15))*$C$144*E$124</f>
        <v>0</v>
      </c>
      <c r="F144" s="80">
        <f>((E76*(1-'5.Closing Stock &amp; W Capital'!$D$15))+(D76*'5.Closing Stock &amp; W Capital'!$D$15))*$C$144*F$124</f>
        <v>0</v>
      </c>
      <c r="G144" s="80">
        <f>((F76*(1-'5.Closing Stock &amp; W Capital'!$D$15))+(E76*'5.Closing Stock &amp; W Capital'!$D$15))*$C$144*G$124</f>
        <v>0</v>
      </c>
      <c r="H144" s="80">
        <f>((G76*(1-'5.Closing Stock &amp; W Capital'!$D$15))+(F76*'5.Closing Stock &amp; W Capital'!$D$15))*$C$144*H$124</f>
        <v>0</v>
      </c>
      <c r="I144" s="80">
        <f>((H76*(1-'5.Closing Stock &amp; W Capital'!$D$15))+(G76*'5.Closing Stock &amp; W Capital'!$D$15))*$C$144*I$124</f>
        <v>0</v>
      </c>
      <c r="J144" s="80">
        <f>((I76*(1-'5.Closing Stock &amp; W Capital'!$D$15))+(H76*'5.Closing Stock &amp; W Capital'!$D$15))*$C$144*J$124</f>
        <v>0</v>
      </c>
      <c r="K144" s="73"/>
      <c r="U144" s="73"/>
      <c r="V144" s="73"/>
      <c r="W144" s="73"/>
    </row>
    <row r="145" spans="1:23" ht="15.75" customHeight="1">
      <c r="A145" s="78">
        <f t="shared" si="54"/>
        <v>0</v>
      </c>
      <c r="B145" s="78"/>
      <c r="C145" s="79"/>
      <c r="D145" s="80">
        <f>(C77*(1-'5.Closing Stock &amp; W Capital'!$D$15))*$C$145*D$124</f>
        <v>0</v>
      </c>
      <c r="E145" s="80">
        <f>((D77*(1-'5.Closing Stock &amp; W Capital'!$D$15))+(C77*'5.Closing Stock &amp; W Capital'!$D$15))*$C$145*E$124</f>
        <v>0</v>
      </c>
      <c r="F145" s="80">
        <f>((E77*(1-'5.Closing Stock &amp; W Capital'!$D$15))+(D77*'5.Closing Stock &amp; W Capital'!$D$15))*$C$145*F$124</f>
        <v>0</v>
      </c>
      <c r="G145" s="80">
        <f>((F77*(1-'5.Closing Stock &amp; W Capital'!$D$15))+(E77*'5.Closing Stock &amp; W Capital'!$D$15))*$C$145*G$124</f>
        <v>0</v>
      </c>
      <c r="H145" s="80">
        <f>((G77*(1-'5.Closing Stock &amp; W Capital'!$D$15))+(F77*'5.Closing Stock &amp; W Capital'!$D$15))*$C$145*H$124</f>
        <v>0</v>
      </c>
      <c r="I145" s="80">
        <f>((H77*(1-'5.Closing Stock &amp; W Capital'!$D$15))+(G77*'5.Closing Stock &amp; W Capital'!$D$15))*$C$145*I$124</f>
        <v>0</v>
      </c>
      <c r="J145" s="80">
        <f>((I77*(1-'5.Closing Stock &amp; W Capital'!$D$15))+(H77*'5.Closing Stock &amp; W Capital'!$D$15))*$C$145*J$124</f>
        <v>0</v>
      </c>
      <c r="K145" s="73"/>
      <c r="U145" s="73"/>
      <c r="V145" s="73"/>
      <c r="W145" s="73"/>
    </row>
    <row r="146" spans="1:23" ht="15.75" customHeight="1">
      <c r="A146" s="78">
        <f t="shared" si="54"/>
        <v>0</v>
      </c>
      <c r="B146" s="78"/>
      <c r="C146" s="79"/>
      <c r="D146" s="80">
        <f>(C78*(1-'5.Closing Stock &amp; W Capital'!$D$15))*$C$146*D$124</f>
        <v>0</v>
      </c>
      <c r="E146" s="80">
        <f>((D78*(1-'5.Closing Stock &amp; W Capital'!$D$15))+(C78*'5.Closing Stock &amp; W Capital'!$D$15))*$C$146*E$124</f>
        <v>0</v>
      </c>
      <c r="F146" s="80">
        <f>((E78*(1-'5.Closing Stock &amp; W Capital'!$D$15))+(D78*'5.Closing Stock &amp; W Capital'!$D$15))*$C$146*F$124</f>
        <v>0</v>
      </c>
      <c r="G146" s="80">
        <f>((F78*(1-'5.Closing Stock &amp; W Capital'!$D$15))+(E78*'5.Closing Stock &amp; W Capital'!$D$15))*$C$146*G$124</f>
        <v>0</v>
      </c>
      <c r="H146" s="80">
        <f>((G78*(1-'5.Closing Stock &amp; W Capital'!$D$15))+(F78*'5.Closing Stock &amp; W Capital'!$D$15))*$C$146*H$124</f>
        <v>0</v>
      </c>
      <c r="I146" s="80">
        <f>((H78*(1-'5.Closing Stock &amp; W Capital'!$D$15))+(G78*'5.Closing Stock &amp; W Capital'!$D$15))*$C$146*I$124</f>
        <v>0</v>
      </c>
      <c r="J146" s="80">
        <f>((I78*(1-'5.Closing Stock &amp; W Capital'!$D$15))+(H78*'5.Closing Stock &amp; W Capital'!$D$15))*$C$146*J$124</f>
        <v>0</v>
      </c>
      <c r="K146" s="73"/>
      <c r="U146" s="73"/>
      <c r="V146" s="73"/>
      <c r="W146" s="73"/>
    </row>
    <row r="147" spans="1:23" ht="15.75" customHeight="1">
      <c r="A147" s="81" t="str">
        <f t="shared" si="54"/>
        <v>Summer</v>
      </c>
      <c r="B147" s="78"/>
      <c r="C147" s="79"/>
      <c r="D147" s="80"/>
      <c r="E147" s="80"/>
      <c r="F147" s="80"/>
      <c r="G147" s="80"/>
      <c r="H147" s="80"/>
      <c r="I147" s="80"/>
      <c r="J147" s="80"/>
      <c r="K147" s="73"/>
      <c r="U147" s="73"/>
      <c r="V147" s="73"/>
      <c r="W147" s="73"/>
    </row>
    <row r="148" spans="1:23" ht="15.75" customHeight="1">
      <c r="A148" s="78" t="str">
        <f t="shared" si="54"/>
        <v>Groundnut</v>
      </c>
      <c r="B148" s="78"/>
      <c r="C148" s="79"/>
      <c r="D148" s="80">
        <f>(C80*(1-'5.Closing Stock &amp; W Capital'!$D$15))*$C$148*D$124</f>
        <v>0</v>
      </c>
      <c r="E148" s="80">
        <f>((D80*(1-'5.Closing Stock &amp; W Capital'!$D$15))+(C80*'5.Closing Stock &amp; W Capital'!$D$15))*$C$148*E$124</f>
        <v>0</v>
      </c>
      <c r="F148" s="80">
        <f>((E80*(1-'5.Closing Stock &amp; W Capital'!$D$15))+(D80*'5.Closing Stock &amp; W Capital'!$D$15))*$C$148*F$124</f>
        <v>0</v>
      </c>
      <c r="G148" s="80">
        <f>((F80*(1-'5.Closing Stock &amp; W Capital'!$D$15))+(E80*'5.Closing Stock &amp; W Capital'!$D$15))*$C$148*G$124</f>
        <v>0</v>
      </c>
      <c r="H148" s="80">
        <f>((G80*(1-'5.Closing Stock &amp; W Capital'!$D$15))+(F80*'5.Closing Stock &amp; W Capital'!$D$15))*$C$148*H$124</f>
        <v>0</v>
      </c>
      <c r="I148" s="80">
        <f>((H80*(1-'5.Closing Stock &amp; W Capital'!$D$15))+(G80*'5.Closing Stock &amp; W Capital'!$D$15))*$C$148*I$124</f>
        <v>0</v>
      </c>
      <c r="J148" s="80">
        <f>((I80*(1-'5.Closing Stock &amp; W Capital'!$D$15))+(H80*'5.Closing Stock &amp; W Capital'!$D$15))*$C$148*J$124</f>
        <v>0</v>
      </c>
      <c r="K148" s="73"/>
      <c r="U148" s="73"/>
      <c r="V148" s="73"/>
      <c r="W148" s="73"/>
    </row>
    <row r="149" spans="1:23" ht="15.75" customHeight="1">
      <c r="A149" s="78">
        <f t="shared" si="54"/>
        <v>0</v>
      </c>
      <c r="B149" s="78"/>
      <c r="C149" s="79"/>
      <c r="D149" s="80">
        <f>(C81*(1-'5.Closing Stock &amp; W Capital'!$D$15))*$C$149*D$124</f>
        <v>0</v>
      </c>
      <c r="E149" s="80">
        <f>((D81*(1-'5.Closing Stock &amp; W Capital'!$D$15))+(C81*'5.Closing Stock &amp; W Capital'!$D$15))*$C$149*E$124</f>
        <v>0</v>
      </c>
      <c r="F149" s="80">
        <f>((E81*(1-'5.Closing Stock &amp; W Capital'!$D$15))+(D81*'5.Closing Stock &amp; W Capital'!$D$15))*$C$149*F$124</f>
        <v>0</v>
      </c>
      <c r="G149" s="80">
        <f>((F81*(1-'5.Closing Stock &amp; W Capital'!$D$15))+(E81*'5.Closing Stock &amp; W Capital'!$D$15))*$C$149*G$124</f>
        <v>0</v>
      </c>
      <c r="H149" s="80">
        <f>((G81*(1-'5.Closing Stock &amp; W Capital'!$D$15))+(F81*'5.Closing Stock &amp; W Capital'!$D$15))*$C$149*H$124</f>
        <v>0</v>
      </c>
      <c r="I149" s="80">
        <f>((H81*(1-'5.Closing Stock &amp; W Capital'!$D$15))+(G81*'5.Closing Stock &amp; W Capital'!$D$15))*$C$149*I$124</f>
        <v>0</v>
      </c>
      <c r="J149" s="80">
        <f>((I81*(1-'5.Closing Stock &amp; W Capital'!$D$15))+(H81*'5.Closing Stock &amp; W Capital'!$D$15))*$C$149*J$124</f>
        <v>0</v>
      </c>
      <c r="K149" s="73"/>
      <c r="U149" s="73"/>
      <c r="V149" s="73"/>
      <c r="W149" s="73"/>
    </row>
    <row r="150" spans="1:23" ht="15.75" customHeight="1">
      <c r="A150" s="78">
        <f t="shared" si="54"/>
        <v>0</v>
      </c>
      <c r="B150" s="78"/>
      <c r="C150" s="79"/>
      <c r="D150" s="80">
        <f>(C82*(1-'5.Closing Stock &amp; W Capital'!$D$15))*$C$150*D$124</f>
        <v>0</v>
      </c>
      <c r="E150" s="80">
        <f>((D82*(1-'5.Closing Stock &amp; W Capital'!$D$15))+(C82*'5.Closing Stock &amp; W Capital'!$D$15))*$C$150*E$124</f>
        <v>0</v>
      </c>
      <c r="F150" s="80">
        <f>((E82*(1-'5.Closing Stock &amp; W Capital'!$D$15))+(D82*'5.Closing Stock &amp; W Capital'!$D$15))*$C$150*F$124</f>
        <v>0</v>
      </c>
      <c r="G150" s="80">
        <f>((F82*(1-'5.Closing Stock &amp; W Capital'!$D$15))+(E82*'5.Closing Stock &amp; W Capital'!$D$15))*$C$150*G$124</f>
        <v>0</v>
      </c>
      <c r="H150" s="80">
        <f>((G82*(1-'5.Closing Stock &amp; W Capital'!$D$15))+(F82*'5.Closing Stock &amp; W Capital'!$D$15))*$C$150*H$124</f>
        <v>0</v>
      </c>
      <c r="I150" s="80">
        <f>((H82*(1-'5.Closing Stock &amp; W Capital'!$D$15))+(G82*'5.Closing Stock &amp; W Capital'!$D$15))*$C$150*I$124</f>
        <v>0</v>
      </c>
      <c r="J150" s="80">
        <f>((I82*(1-'5.Closing Stock &amp; W Capital'!$D$15))+(H82*'5.Closing Stock &amp; W Capital'!$D$15))*$C$150*J$124</f>
        <v>0</v>
      </c>
      <c r="K150" s="73"/>
      <c r="U150" s="73"/>
      <c r="V150" s="73"/>
      <c r="W150" s="73"/>
    </row>
    <row r="151" spans="1:23" ht="15.75" customHeight="1">
      <c r="A151" s="78">
        <f t="shared" si="54"/>
        <v>0</v>
      </c>
      <c r="B151" s="78"/>
      <c r="C151" s="79"/>
      <c r="D151" s="80">
        <f>(C83*(1-'5.Closing Stock &amp; W Capital'!$D$15))*$C$151*D$124</f>
        <v>0</v>
      </c>
      <c r="E151" s="80">
        <f>((D83*(1-'5.Closing Stock &amp; W Capital'!$D$15))+(C83*'5.Closing Stock &amp; W Capital'!$D$15))*$C$151*E$124</f>
        <v>0</v>
      </c>
      <c r="F151" s="80">
        <f>((E83*(1-'5.Closing Stock &amp; W Capital'!$D$15))+(D83*'5.Closing Stock &amp; W Capital'!$D$15))*$C$151*F$124</f>
        <v>0</v>
      </c>
      <c r="G151" s="80">
        <f>((F83*(1-'5.Closing Stock &amp; W Capital'!$D$15))+(E83*'5.Closing Stock &amp; W Capital'!$D$15))*$C$151*G$124</f>
        <v>0</v>
      </c>
      <c r="H151" s="80">
        <f>((G83*(1-'5.Closing Stock &amp; W Capital'!$D$15))+(F83*'5.Closing Stock &amp; W Capital'!$D$15))*$C$151*H$124</f>
        <v>0</v>
      </c>
      <c r="I151" s="80">
        <f>((H83*(1-'5.Closing Stock &amp; W Capital'!$D$15))+(G83*'5.Closing Stock &amp; W Capital'!$D$15))*$C$151*I$124</f>
        <v>0</v>
      </c>
      <c r="J151" s="80">
        <f>((I83*(1-'5.Closing Stock &amp; W Capital'!$D$15))+(H83*'5.Closing Stock &amp; W Capital'!$D$15))*$C$151*J$124</f>
        <v>0</v>
      </c>
      <c r="K151" s="73"/>
      <c r="U151" s="73"/>
      <c r="V151" s="73"/>
      <c r="W151" s="73"/>
    </row>
    <row r="152" spans="1:23" ht="15.75" customHeight="1">
      <c r="A152" s="78">
        <f t="shared" si="54"/>
        <v>0</v>
      </c>
      <c r="B152" s="78"/>
      <c r="C152" s="79"/>
      <c r="D152" s="80">
        <f>(C84*(1-'5.Closing Stock &amp; W Capital'!$D$15))*$C$152*D$124</f>
        <v>0</v>
      </c>
      <c r="E152" s="80">
        <f>((D84*(1-'5.Closing Stock &amp; W Capital'!$D$15))+(C84*'5.Closing Stock &amp; W Capital'!$D$15))*$C$152*E$124</f>
        <v>0</v>
      </c>
      <c r="F152" s="80">
        <f>((E84*(1-'5.Closing Stock &amp; W Capital'!$D$15))+(D84*'5.Closing Stock &amp; W Capital'!$D$15))*$C$152*F$124</f>
        <v>0</v>
      </c>
      <c r="G152" s="80">
        <f>((F84*(1-'5.Closing Stock &amp; W Capital'!$D$15))+(E84*'5.Closing Stock &amp; W Capital'!$D$15))*$C$152*G$124</f>
        <v>0</v>
      </c>
      <c r="H152" s="80">
        <f>((G84*(1-'5.Closing Stock &amp; W Capital'!$D$15))+(F84*'5.Closing Stock &amp; W Capital'!$D$15))*$C$152*H$124</f>
        <v>0</v>
      </c>
      <c r="I152" s="80">
        <f>((H84*(1-'5.Closing Stock &amp; W Capital'!$D$15))+(G84*'5.Closing Stock &amp; W Capital'!$D$15))*$C$152*I$124</f>
        <v>0</v>
      </c>
      <c r="J152" s="80">
        <f>((I84*(1-'5.Closing Stock &amp; W Capital'!$D$15))+(H84*'5.Closing Stock &amp; W Capital'!$D$15))*$C$152*J$124</f>
        <v>0</v>
      </c>
      <c r="K152" s="73"/>
      <c r="U152" s="73"/>
      <c r="V152" s="73"/>
      <c r="W152" s="73"/>
    </row>
    <row r="153" spans="1:23" ht="15.75" customHeight="1">
      <c r="A153" s="78" t="str">
        <f t="shared" si="54"/>
        <v>Fruit  &amp; Vegetables Crop Production Details</v>
      </c>
      <c r="B153" s="78"/>
      <c r="C153" s="79"/>
      <c r="D153" s="80"/>
      <c r="E153" s="80"/>
      <c r="F153" s="80"/>
      <c r="G153" s="80"/>
      <c r="H153" s="80"/>
      <c r="I153" s="80"/>
      <c r="J153" s="80"/>
      <c r="K153" s="73"/>
      <c r="U153" s="73"/>
      <c r="V153" s="73"/>
      <c r="W153" s="73"/>
    </row>
    <row r="154" spans="1:23" ht="15.75" customHeight="1">
      <c r="A154" s="78" t="str">
        <f t="shared" si="54"/>
        <v>Onion</v>
      </c>
      <c r="B154" s="78"/>
      <c r="C154" s="79"/>
      <c r="D154" s="80">
        <f>(C86*(1-'5.Closing Stock &amp; W Capital'!$D$15))*$C154*D$124</f>
        <v>0</v>
      </c>
      <c r="E154" s="80">
        <f>((D86*(1-'5.Closing Stock &amp; W Capital'!$D$15))+(C86*'5.Closing Stock &amp; W Capital'!$D$15))*$C154*E$124</f>
        <v>0</v>
      </c>
      <c r="F154" s="80">
        <f>((E86*(1-'5.Closing Stock &amp; W Capital'!$D$15))+(D86*'5.Closing Stock &amp; W Capital'!$D$15))*$C$152*F$124</f>
        <v>0</v>
      </c>
      <c r="G154" s="80">
        <f>((F86*(1-'5.Closing Stock &amp; W Capital'!$D$15))+(E86*'5.Closing Stock &amp; W Capital'!$D$15))*$C$152*G$124</f>
        <v>0</v>
      </c>
      <c r="H154" s="80">
        <f>((G86*(1-'5.Closing Stock &amp; W Capital'!$D$15))+(F86*'5.Closing Stock &amp; W Capital'!$D$15))*$C$152*H$124</f>
        <v>0</v>
      </c>
      <c r="I154" s="80">
        <f>((H86*(1-'5.Closing Stock &amp; W Capital'!$D$15))+(G86*'5.Closing Stock &amp; W Capital'!$D$15))*$C$152*I$124</f>
        <v>0</v>
      </c>
      <c r="J154" s="80">
        <f>((I86*(1-'5.Closing Stock &amp; W Capital'!$D$15))+(H86*'5.Closing Stock &amp; W Capital'!$D$15))*$C$152*J$124</f>
        <v>0</v>
      </c>
      <c r="K154" s="73"/>
      <c r="U154" s="73"/>
      <c r="V154" s="73"/>
      <c r="W154" s="73"/>
    </row>
    <row r="155" spans="1:23" ht="15.75" customHeight="1">
      <c r="A155" s="78" t="str">
        <f t="shared" si="54"/>
        <v>Tomato</v>
      </c>
      <c r="B155" s="78"/>
      <c r="C155" s="79"/>
      <c r="D155" s="80">
        <f>(C87*(1-'5.Closing Stock &amp; W Capital'!$D$15))*$C155*D$124</f>
        <v>0</v>
      </c>
      <c r="E155" s="80">
        <f>((D87*(1-'5.Closing Stock &amp; W Capital'!$D$15))+(C87*'5.Closing Stock &amp; W Capital'!$D$15))*$C155*E$124</f>
        <v>0</v>
      </c>
      <c r="F155" s="80">
        <f>((E87*(1-'5.Closing Stock &amp; W Capital'!$D$15))+(D87*'5.Closing Stock &amp; W Capital'!$D$15))*$C$152*F$124</f>
        <v>0</v>
      </c>
      <c r="G155" s="80">
        <f>((F87*(1-'5.Closing Stock &amp; W Capital'!$D$15))+(E87*'5.Closing Stock &amp; W Capital'!$D$15))*$C$152*G$124</f>
        <v>0</v>
      </c>
      <c r="H155" s="80">
        <f>((G87*(1-'5.Closing Stock &amp; W Capital'!$D$15))+(F87*'5.Closing Stock &amp; W Capital'!$D$15))*$C$152*H$124</f>
        <v>0</v>
      </c>
      <c r="I155" s="80">
        <f>((H87*(1-'5.Closing Stock &amp; W Capital'!$D$15))+(G87*'5.Closing Stock &amp; W Capital'!$D$15))*$C$152*I$124</f>
        <v>0</v>
      </c>
      <c r="J155" s="80">
        <f>((I87*(1-'5.Closing Stock &amp; W Capital'!$D$15))+(H87*'5.Closing Stock &amp; W Capital'!$D$15))*$C$152*J$124</f>
        <v>0</v>
      </c>
      <c r="K155" s="73"/>
      <c r="U155" s="73"/>
      <c r="V155" s="73"/>
      <c r="W155" s="73"/>
    </row>
    <row r="156" spans="1:23" ht="15.75" customHeight="1">
      <c r="A156" s="78" t="str">
        <f t="shared" si="54"/>
        <v>Okra</v>
      </c>
      <c r="B156" s="78"/>
      <c r="C156" s="79"/>
      <c r="D156" s="80">
        <f>(C88*(1-'5.Closing Stock &amp; W Capital'!$D$15))*$C156*D$124</f>
        <v>0</v>
      </c>
      <c r="E156" s="80">
        <f>((D88*(1-'5.Closing Stock &amp; W Capital'!$D$15))+(C88*'5.Closing Stock &amp; W Capital'!$D$15))*$C156*E$124</f>
        <v>0</v>
      </c>
      <c r="F156" s="80">
        <f>((E88*(1-'5.Closing Stock &amp; W Capital'!$D$15))+(D88*'5.Closing Stock &amp; W Capital'!$D$15))*$C$152*F$124</f>
        <v>0</v>
      </c>
      <c r="G156" s="80">
        <f>((F88*(1-'5.Closing Stock &amp; W Capital'!$D$15))+(E88*'5.Closing Stock &amp; W Capital'!$D$15))*$C$152*G$124</f>
        <v>0</v>
      </c>
      <c r="H156" s="80">
        <f>((G88*(1-'5.Closing Stock &amp; W Capital'!$D$15))+(F88*'5.Closing Stock &amp; W Capital'!$D$15))*$C$152*H$124</f>
        <v>0</v>
      </c>
      <c r="I156" s="80">
        <f>((H88*(1-'5.Closing Stock &amp; W Capital'!$D$15))+(G88*'5.Closing Stock &amp; W Capital'!$D$15))*$C$152*I$124</f>
        <v>0</v>
      </c>
      <c r="J156" s="80">
        <f>((I88*(1-'5.Closing Stock &amp; W Capital'!$D$15))+(H88*'5.Closing Stock &amp; W Capital'!$D$15))*$C$152*J$124</f>
        <v>0</v>
      </c>
      <c r="K156" s="73"/>
      <c r="U156" s="73"/>
      <c r="V156" s="73"/>
      <c r="W156" s="73"/>
    </row>
    <row r="157" spans="1:23" ht="15.75" customHeight="1">
      <c r="A157" s="78" t="str">
        <f t="shared" si="54"/>
        <v>Chilli</v>
      </c>
      <c r="B157" s="78"/>
      <c r="C157" s="79"/>
      <c r="D157" s="80">
        <f>(C89*(1-'5.Closing Stock &amp; W Capital'!$D$15))*$C157*D$124</f>
        <v>0</v>
      </c>
      <c r="E157" s="80">
        <f>((D89*(1-'5.Closing Stock &amp; W Capital'!$D$15))+(C89*'5.Closing Stock &amp; W Capital'!$D$15))*$C157*E$124</f>
        <v>0</v>
      </c>
      <c r="F157" s="80">
        <f>((E89*(1-'5.Closing Stock &amp; W Capital'!$D$15))+(D89*'5.Closing Stock &amp; W Capital'!$D$15))*$C$152*F$124</f>
        <v>0</v>
      </c>
      <c r="G157" s="80">
        <f>((F89*(1-'5.Closing Stock &amp; W Capital'!$D$15))+(E89*'5.Closing Stock &amp; W Capital'!$D$15))*$C$152*G$124</f>
        <v>0</v>
      </c>
      <c r="H157" s="80">
        <f>((G89*(1-'5.Closing Stock &amp; W Capital'!$D$15))+(F89*'5.Closing Stock &amp; W Capital'!$D$15))*$C$152*H$124</f>
        <v>0</v>
      </c>
      <c r="I157" s="80">
        <f>((H89*(1-'5.Closing Stock &amp; W Capital'!$D$15))+(G89*'5.Closing Stock &amp; W Capital'!$D$15))*$C$152*I$124</f>
        <v>0</v>
      </c>
      <c r="J157" s="80">
        <f>((I89*(1-'5.Closing Stock &amp; W Capital'!$D$15))+(H89*'5.Closing Stock &amp; W Capital'!$D$15))*$C$152*J$124</f>
        <v>0</v>
      </c>
      <c r="K157" s="73"/>
      <c r="U157" s="73"/>
      <c r="V157" s="73"/>
      <c r="W157" s="73"/>
    </row>
    <row r="158" spans="1:23" ht="15.75" customHeight="1">
      <c r="A158" s="78" t="str">
        <f t="shared" si="54"/>
        <v>Potato</v>
      </c>
      <c r="B158" s="78"/>
      <c r="C158" s="79"/>
      <c r="D158" s="80">
        <f>(C90*(1-'5.Closing Stock &amp; W Capital'!$D$15))*$C158*D$124</f>
        <v>0</v>
      </c>
      <c r="E158" s="80">
        <f>((D90*(1-'5.Closing Stock &amp; W Capital'!$D$15))+(C90*'5.Closing Stock &amp; W Capital'!$D$15))*$C158*E$124</f>
        <v>0</v>
      </c>
      <c r="F158" s="80">
        <f>((E90*(1-'5.Closing Stock &amp; W Capital'!$D$15))+(D90*'5.Closing Stock &amp; W Capital'!$D$15))*$C$152*F$124</f>
        <v>0</v>
      </c>
      <c r="G158" s="80">
        <f>((F90*(1-'5.Closing Stock &amp; W Capital'!$D$15))+(E90*'5.Closing Stock &amp; W Capital'!$D$15))*$C$152*G$124</f>
        <v>0</v>
      </c>
      <c r="H158" s="80">
        <f>((G90*(1-'5.Closing Stock &amp; W Capital'!$D$15))+(F90*'5.Closing Stock &amp; W Capital'!$D$15))*$C$152*H$124</f>
        <v>0</v>
      </c>
      <c r="I158" s="80">
        <f>((H90*(1-'5.Closing Stock &amp; W Capital'!$D$15))+(G90*'5.Closing Stock &amp; W Capital'!$D$15))*$C$152*I$124</f>
        <v>0</v>
      </c>
      <c r="J158" s="80">
        <f>((I90*(1-'5.Closing Stock &amp; W Capital'!$D$15))+(H90*'5.Closing Stock &amp; W Capital'!$D$15))*$C$152*J$124</f>
        <v>0</v>
      </c>
      <c r="K158" s="73"/>
      <c r="U158" s="73"/>
      <c r="V158" s="73"/>
      <c r="W158" s="73"/>
    </row>
    <row r="159" spans="1:23" ht="15.75" customHeight="1">
      <c r="A159" s="78">
        <f t="shared" si="54"/>
        <v>0</v>
      </c>
      <c r="B159" s="78"/>
      <c r="C159" s="79"/>
      <c r="D159" s="80">
        <f>(C91*(1-'5.Closing Stock &amp; W Capital'!$D$15))*$C159*D$124</f>
        <v>0</v>
      </c>
      <c r="E159" s="80">
        <f>((D91*(1-'5.Closing Stock &amp; W Capital'!$D$15))+(C91*'5.Closing Stock &amp; W Capital'!$D$15))*$C159*E$124</f>
        <v>0</v>
      </c>
      <c r="F159" s="80">
        <f>((E91*(1-'5.Closing Stock &amp; W Capital'!$D$15))+(D91*'5.Closing Stock &amp; W Capital'!$D$15))*$C$152*F$124</f>
        <v>0</v>
      </c>
      <c r="G159" s="80">
        <f>((F91*(1-'5.Closing Stock &amp; W Capital'!$D$15))+(E91*'5.Closing Stock &amp; W Capital'!$D$15))*$C$152*G$124</f>
        <v>0</v>
      </c>
      <c r="H159" s="80">
        <f>((G91*(1-'5.Closing Stock &amp; W Capital'!$D$15))+(F91*'5.Closing Stock &amp; W Capital'!$D$15))*$C$152*H$124</f>
        <v>0</v>
      </c>
      <c r="I159" s="80">
        <f>((H91*(1-'5.Closing Stock &amp; W Capital'!$D$15))+(G91*'5.Closing Stock &amp; W Capital'!$D$15))*$C$152*I$124</f>
        <v>0</v>
      </c>
      <c r="J159" s="80">
        <f>((I91*(1-'5.Closing Stock &amp; W Capital'!$D$15))+(H91*'5.Closing Stock &amp; W Capital'!$D$15))*$C$152*J$124</f>
        <v>0</v>
      </c>
      <c r="K159" s="73"/>
      <c r="U159" s="73"/>
      <c r="V159" s="73"/>
      <c r="W159" s="73"/>
    </row>
    <row r="160" spans="1:23" ht="15.75" customHeight="1">
      <c r="A160" s="78">
        <f t="shared" si="54"/>
        <v>0</v>
      </c>
      <c r="B160" s="78"/>
      <c r="C160" s="79"/>
      <c r="D160" s="80">
        <f>(C92*(1-'5.Closing Stock &amp; W Capital'!$D$15))*$C160*D$124</f>
        <v>0</v>
      </c>
      <c r="E160" s="80">
        <f>((D92*(1-'5.Closing Stock &amp; W Capital'!$D$15))+(C92*'5.Closing Stock &amp; W Capital'!$D$15))*$C160*E$124</f>
        <v>0</v>
      </c>
      <c r="F160" s="80">
        <f>((E92*(1-'5.Closing Stock &amp; W Capital'!$D$15))+(D92*'5.Closing Stock &amp; W Capital'!$D$15))*$C$152*F$124</f>
        <v>0</v>
      </c>
      <c r="G160" s="80">
        <f>((F92*(1-'5.Closing Stock &amp; W Capital'!$D$15))+(E92*'5.Closing Stock &amp; W Capital'!$D$15))*$C$152*G$124</f>
        <v>0</v>
      </c>
      <c r="H160" s="80">
        <f>((G92*(1-'5.Closing Stock &amp; W Capital'!$D$15))+(F92*'5.Closing Stock &amp; W Capital'!$D$15))*$C$152*H$124</f>
        <v>0</v>
      </c>
      <c r="I160" s="80">
        <f>((H92*(1-'5.Closing Stock &amp; W Capital'!$D$15))+(G92*'5.Closing Stock &amp; W Capital'!$D$15))*$C$152*I$124</f>
        <v>0</v>
      </c>
      <c r="J160" s="80">
        <f>((I92*(1-'5.Closing Stock &amp; W Capital'!$D$15))+(H92*'5.Closing Stock &amp; W Capital'!$D$15))*$C$152*J$124</f>
        <v>0</v>
      </c>
      <c r="K160" s="73"/>
      <c r="U160" s="73"/>
      <c r="V160" s="73"/>
      <c r="W160" s="73"/>
    </row>
    <row r="161" spans="1:23" ht="15.75" customHeight="1">
      <c r="A161" s="78">
        <f t="shared" si="54"/>
        <v>0</v>
      </c>
      <c r="B161" s="78"/>
      <c r="C161" s="79"/>
      <c r="D161" s="80">
        <f>(C93*(1-'5.Closing Stock &amp; W Capital'!$D$15))*$C161*D$124</f>
        <v>0</v>
      </c>
      <c r="E161" s="80">
        <f>((D93*(1-'5.Closing Stock &amp; W Capital'!$D$15))+(C93*'5.Closing Stock &amp; W Capital'!$D$15))*$C161*E$124</f>
        <v>0</v>
      </c>
      <c r="F161" s="80">
        <f>((E93*(1-'5.Closing Stock &amp; W Capital'!$D$15))+(D93*'5.Closing Stock &amp; W Capital'!$D$15))*$C$152*F$124</f>
        <v>0</v>
      </c>
      <c r="G161" s="80">
        <f>((F93*(1-'5.Closing Stock &amp; W Capital'!$D$15))+(E93*'5.Closing Stock &amp; W Capital'!$D$15))*$C$152*G$124</f>
        <v>0</v>
      </c>
      <c r="H161" s="80">
        <f>((G93*(1-'5.Closing Stock &amp; W Capital'!$D$15))+(F93*'5.Closing Stock &amp; W Capital'!$D$15))*$C$152*H$124</f>
        <v>0</v>
      </c>
      <c r="I161" s="80">
        <f>((H93*(1-'5.Closing Stock &amp; W Capital'!$D$15))+(G93*'5.Closing Stock &amp; W Capital'!$D$15))*$C$152*I$124</f>
        <v>0</v>
      </c>
      <c r="J161" s="80">
        <f>((I93*(1-'5.Closing Stock &amp; W Capital'!$D$15))+(H93*'5.Closing Stock &amp; W Capital'!$D$15))*$C$152*J$124</f>
        <v>0</v>
      </c>
      <c r="K161" s="73"/>
      <c r="U161" s="73"/>
      <c r="V161" s="73"/>
      <c r="W161" s="73"/>
    </row>
    <row r="162" spans="1:23" ht="15.75" customHeight="1">
      <c r="A162" s="78">
        <f t="shared" si="54"/>
        <v>0</v>
      </c>
      <c r="B162" s="78"/>
      <c r="C162" s="79"/>
      <c r="D162" s="80">
        <f>(C94*(1-'5.Closing Stock &amp; W Capital'!$D$15))*$C162*D$124</f>
        <v>0</v>
      </c>
      <c r="E162" s="80">
        <f>((D94*(1-'5.Closing Stock &amp; W Capital'!$D$15))+(C94*'5.Closing Stock &amp; W Capital'!$D$15))*$C162*E$124</f>
        <v>0</v>
      </c>
      <c r="F162" s="80">
        <f>((E94*(1-'5.Closing Stock &amp; W Capital'!$D$15))+(D94*'5.Closing Stock &amp; W Capital'!$D$15))*$C$152*F$124</f>
        <v>0</v>
      </c>
      <c r="G162" s="80">
        <f>((F94*(1-'5.Closing Stock &amp; W Capital'!$D$15))+(E94*'5.Closing Stock &amp; W Capital'!$D$15))*$C$152*G$124</f>
        <v>0</v>
      </c>
      <c r="H162" s="80">
        <f>((G94*(1-'5.Closing Stock &amp; W Capital'!$D$15))+(F94*'5.Closing Stock &amp; W Capital'!$D$15))*$C$152*H$124</f>
        <v>0</v>
      </c>
      <c r="I162" s="80">
        <f>((H94*(1-'5.Closing Stock &amp; W Capital'!$D$15))+(G94*'5.Closing Stock &amp; W Capital'!$D$15))*$C$152*I$124</f>
        <v>0</v>
      </c>
      <c r="J162" s="80">
        <f>((I94*(1-'5.Closing Stock &amp; W Capital'!$D$15))+(H94*'5.Closing Stock &amp; W Capital'!$D$15))*$C$152*J$124</f>
        <v>0</v>
      </c>
      <c r="K162" s="73"/>
      <c r="U162" s="73"/>
      <c r="V162" s="73"/>
      <c r="W162" s="73"/>
    </row>
    <row r="163" spans="1:23" ht="15.75" customHeight="1">
      <c r="A163" s="78" t="str">
        <f t="shared" si="54"/>
        <v>Onion</v>
      </c>
      <c r="B163" s="78"/>
      <c r="C163" s="79"/>
      <c r="D163" s="80">
        <f>(C95*(1-'5.Closing Stock &amp; W Capital'!$D$15))*$C163*D$124</f>
        <v>0</v>
      </c>
      <c r="E163" s="80">
        <f>((D95*(1-'5.Closing Stock &amp; W Capital'!$D$15))+(C95*'5.Closing Stock &amp; W Capital'!$D$15))*$C163*E$124</f>
        <v>0</v>
      </c>
      <c r="F163" s="80">
        <f>((E95*(1-'5.Closing Stock &amp; W Capital'!$D$15))+(D95*'5.Closing Stock &amp; W Capital'!$D$15))*$C$152*F$124</f>
        <v>0</v>
      </c>
      <c r="G163" s="80">
        <f>((F95*(1-'5.Closing Stock &amp; W Capital'!$D$15))+(E95*'5.Closing Stock &amp; W Capital'!$D$15))*$C$152*G$124</f>
        <v>0</v>
      </c>
      <c r="H163" s="80">
        <f>((G95*(1-'5.Closing Stock &amp; W Capital'!$D$15))+(F95*'5.Closing Stock &amp; W Capital'!$D$15))*$C$152*H$124</f>
        <v>0</v>
      </c>
      <c r="I163" s="80">
        <f>((H95*(1-'5.Closing Stock &amp; W Capital'!$D$15))+(G95*'5.Closing Stock &amp; W Capital'!$D$15))*$C$152*I$124</f>
        <v>0</v>
      </c>
      <c r="J163" s="80">
        <f>((I95*(1-'5.Closing Stock &amp; W Capital'!$D$15))+(H95*'5.Closing Stock &amp; W Capital'!$D$15))*$C$152*J$124</f>
        <v>0</v>
      </c>
      <c r="K163" s="73"/>
      <c r="U163" s="73"/>
      <c r="V163" s="73"/>
      <c r="W163" s="73"/>
    </row>
    <row r="164" spans="1:23" ht="15.75" customHeight="1">
      <c r="A164" s="78" t="str">
        <f t="shared" si="54"/>
        <v>Tomato</v>
      </c>
      <c r="B164" s="78"/>
      <c r="C164" s="79"/>
      <c r="D164" s="80">
        <f>(C96*(1-'5.Closing Stock &amp; W Capital'!$D$15))*$C164*D$124</f>
        <v>0</v>
      </c>
      <c r="E164" s="80">
        <f>((D96*(1-'5.Closing Stock &amp; W Capital'!$D$15))+(C96*'5.Closing Stock &amp; W Capital'!$D$15))*$C164*E$124</f>
        <v>0</v>
      </c>
      <c r="F164" s="80">
        <f>((E96*(1-'5.Closing Stock &amp; W Capital'!$D$15))+(D96*'5.Closing Stock &amp; W Capital'!$D$15))*$C$152*F$124</f>
        <v>0</v>
      </c>
      <c r="G164" s="80">
        <f>((F96*(1-'5.Closing Stock &amp; W Capital'!$D$15))+(E96*'5.Closing Stock &amp; W Capital'!$D$15))*$C$152*G$124</f>
        <v>0</v>
      </c>
      <c r="H164" s="80">
        <f>((G96*(1-'5.Closing Stock &amp; W Capital'!$D$15))+(F96*'5.Closing Stock &amp; W Capital'!$D$15))*$C$152*H$124</f>
        <v>0</v>
      </c>
      <c r="I164" s="80">
        <f>((H96*(1-'5.Closing Stock &amp; W Capital'!$D$15))+(G96*'5.Closing Stock &amp; W Capital'!$D$15))*$C$152*I$124</f>
        <v>0</v>
      </c>
      <c r="J164" s="80">
        <f>((I96*(1-'5.Closing Stock &amp; W Capital'!$D$15))+(H96*'5.Closing Stock &amp; W Capital'!$D$15))*$C$152*J$124</f>
        <v>0</v>
      </c>
      <c r="K164" s="73"/>
      <c r="U164" s="73"/>
      <c r="V164" s="73"/>
      <c r="W164" s="73"/>
    </row>
    <row r="165" spans="1:23" ht="15.75" customHeight="1">
      <c r="A165" s="78" t="str">
        <f t="shared" si="54"/>
        <v>Okra</v>
      </c>
      <c r="B165" s="78"/>
      <c r="C165" s="79"/>
      <c r="D165" s="80">
        <f>(C97*(1-'5.Closing Stock &amp; W Capital'!$D$15))*$C165*D$124</f>
        <v>0</v>
      </c>
      <c r="E165" s="80">
        <f>((D97*(1-'5.Closing Stock &amp; W Capital'!$D$15))+(C97*'5.Closing Stock &amp; W Capital'!$D$15))*$C165*E$124</f>
        <v>0</v>
      </c>
      <c r="F165" s="80">
        <f>((E97*(1-'5.Closing Stock &amp; W Capital'!$D$15))+(D97*'5.Closing Stock &amp; W Capital'!$D$15))*$C$152*F$124</f>
        <v>0</v>
      </c>
      <c r="G165" s="80">
        <f>((F97*(1-'5.Closing Stock &amp; W Capital'!$D$15))+(E97*'5.Closing Stock &amp; W Capital'!$D$15))*$C$152*G$124</f>
        <v>0</v>
      </c>
      <c r="H165" s="80">
        <f>((G97*(1-'5.Closing Stock &amp; W Capital'!$D$15))+(F97*'5.Closing Stock &amp; W Capital'!$D$15))*$C$152*H$124</f>
        <v>0</v>
      </c>
      <c r="I165" s="80">
        <f>((H97*(1-'5.Closing Stock &amp; W Capital'!$D$15))+(G97*'5.Closing Stock &amp; W Capital'!$D$15))*$C$152*I$124</f>
        <v>0</v>
      </c>
      <c r="J165" s="80">
        <f>((I97*(1-'5.Closing Stock &amp; W Capital'!$D$15))+(H97*'5.Closing Stock &amp; W Capital'!$D$15))*$C$152*J$124</f>
        <v>0</v>
      </c>
      <c r="K165" s="73"/>
      <c r="U165" s="73"/>
      <c r="V165" s="73"/>
      <c r="W165" s="73"/>
    </row>
    <row r="166" spans="1:23" ht="15.75" customHeight="1">
      <c r="A166" s="78" t="str">
        <f t="shared" si="54"/>
        <v>Chilli</v>
      </c>
      <c r="B166" s="78"/>
      <c r="C166" s="79"/>
      <c r="D166" s="80">
        <f>(C98*(1-'5.Closing Stock &amp; W Capital'!$D$15))*$C166*D$124</f>
        <v>0</v>
      </c>
      <c r="E166" s="80">
        <f>((D98*(1-'5.Closing Stock &amp; W Capital'!$D$15))+(C98*'5.Closing Stock &amp; W Capital'!$D$15))*$C166*E$124</f>
        <v>0</v>
      </c>
      <c r="F166" s="80">
        <f>((E98*(1-'5.Closing Stock &amp; W Capital'!$D$15))+(D98*'5.Closing Stock &amp; W Capital'!$D$15))*$C$152*F$124</f>
        <v>0</v>
      </c>
      <c r="G166" s="80">
        <f>((F98*(1-'5.Closing Stock &amp; W Capital'!$D$15))+(E98*'5.Closing Stock &amp; W Capital'!$D$15))*$C$152*G$124</f>
        <v>0</v>
      </c>
      <c r="H166" s="80">
        <f>((G98*(1-'5.Closing Stock &amp; W Capital'!$D$15))+(F98*'5.Closing Stock &amp; W Capital'!$D$15))*$C$152*H$124</f>
        <v>0</v>
      </c>
      <c r="I166" s="80">
        <f>((H98*(1-'5.Closing Stock &amp; W Capital'!$D$15))+(G98*'5.Closing Stock &amp; W Capital'!$D$15))*$C$152*I$124</f>
        <v>0</v>
      </c>
      <c r="J166" s="80">
        <f>((I98*(1-'5.Closing Stock &amp; W Capital'!$D$15))+(H98*'5.Closing Stock &amp; W Capital'!$D$15))*$C$152*J$124</f>
        <v>0</v>
      </c>
      <c r="K166" s="73"/>
      <c r="U166" s="73"/>
      <c r="V166" s="73"/>
      <c r="W166" s="73"/>
    </row>
    <row r="167" spans="1:23" ht="15.75" customHeight="1">
      <c r="A167" s="78" t="str">
        <f t="shared" si="54"/>
        <v>Brinjal</v>
      </c>
      <c r="B167" s="78"/>
      <c r="C167" s="79"/>
      <c r="D167" s="80">
        <f>(C99*(1-'5.Closing Stock &amp; W Capital'!$D$15))*$C167*D$124</f>
        <v>0</v>
      </c>
      <c r="E167" s="80">
        <f>((D99*(1-'5.Closing Stock &amp; W Capital'!$D$15))+(C99*'5.Closing Stock &amp; W Capital'!$D$15))*$C167*E$124</f>
        <v>0</v>
      </c>
      <c r="F167" s="80">
        <f>((E99*(1-'5.Closing Stock &amp; W Capital'!$D$15))+(D99*'5.Closing Stock &amp; W Capital'!$D$15))*$C$152*F$124</f>
        <v>0</v>
      </c>
      <c r="G167" s="80">
        <f>((F99*(1-'5.Closing Stock &amp; W Capital'!$D$15))+(E99*'5.Closing Stock &amp; W Capital'!$D$15))*$C$152*G$124</f>
        <v>0</v>
      </c>
      <c r="H167" s="80">
        <f>((G99*(1-'5.Closing Stock &amp; W Capital'!$D$15))+(F99*'5.Closing Stock &amp; W Capital'!$D$15))*$C$152*H$124</f>
        <v>0</v>
      </c>
      <c r="I167" s="80">
        <f>((H99*(1-'5.Closing Stock &amp; W Capital'!$D$15))+(G99*'5.Closing Stock &amp; W Capital'!$D$15))*$C$152*I$124</f>
        <v>0</v>
      </c>
      <c r="J167" s="80">
        <f>((I99*(1-'5.Closing Stock &amp; W Capital'!$D$15))+(H99*'5.Closing Stock &amp; W Capital'!$D$15))*$C$152*J$124</f>
        <v>0</v>
      </c>
      <c r="K167" s="73"/>
      <c r="U167" s="73"/>
      <c r="V167" s="73"/>
      <c r="W167" s="73"/>
    </row>
    <row r="168" spans="1:23" ht="15.75" customHeight="1">
      <c r="A168" s="78">
        <f t="shared" si="54"/>
        <v>0</v>
      </c>
      <c r="B168" s="78"/>
      <c r="C168" s="79"/>
      <c r="D168" s="80">
        <f>(C100*(1-'5.Closing Stock &amp; W Capital'!$D$15))*$C168*D$124</f>
        <v>0</v>
      </c>
      <c r="E168" s="80">
        <f>((D100*(1-'5.Closing Stock &amp; W Capital'!$D$15))+(C100*'5.Closing Stock &amp; W Capital'!$D$15))*$C168*E$124</f>
        <v>0</v>
      </c>
      <c r="F168" s="80">
        <f>((E100*(1-'5.Closing Stock &amp; W Capital'!$D$15))+(D100*'5.Closing Stock &amp; W Capital'!$D$15))*$C$152*F$124</f>
        <v>0</v>
      </c>
      <c r="G168" s="80">
        <f>((F100*(1-'5.Closing Stock &amp; W Capital'!$D$15))+(E100*'5.Closing Stock &amp; W Capital'!$D$15))*$C$152*G$124</f>
        <v>0</v>
      </c>
      <c r="H168" s="80">
        <f>((G100*(1-'5.Closing Stock &amp; W Capital'!$D$15))+(F100*'5.Closing Stock &amp; W Capital'!$D$15))*$C$152*H$124</f>
        <v>0</v>
      </c>
      <c r="I168" s="80">
        <f>((H100*(1-'5.Closing Stock &amp; W Capital'!$D$15))+(G100*'5.Closing Stock &amp; W Capital'!$D$15))*$C$152*I$124</f>
        <v>0</v>
      </c>
      <c r="J168" s="80">
        <f>((I100*(1-'5.Closing Stock &amp; W Capital'!$D$15))+(H100*'5.Closing Stock &amp; W Capital'!$D$15))*$C$152*J$124</f>
        <v>0</v>
      </c>
      <c r="K168" s="73"/>
      <c r="U168" s="73"/>
      <c r="V168" s="73"/>
      <c r="W168" s="73"/>
    </row>
    <row r="169" spans="1:23" ht="15.75" customHeight="1">
      <c r="A169" s="78">
        <f t="shared" si="54"/>
        <v>0</v>
      </c>
      <c r="B169" s="78"/>
      <c r="C169" s="79"/>
      <c r="D169" s="80">
        <f>(C101*(1-'5.Closing Stock &amp; W Capital'!$D$15))*$C169*D$124</f>
        <v>0</v>
      </c>
      <c r="E169" s="80">
        <f>((D101*(1-'5.Closing Stock &amp; W Capital'!$D$15))+(C101*'5.Closing Stock &amp; W Capital'!$D$15))*$C169*E$124</f>
        <v>0</v>
      </c>
      <c r="F169" s="80">
        <f>((E101*(1-'5.Closing Stock &amp; W Capital'!$D$15))+(D101*'5.Closing Stock &amp; W Capital'!$D$15))*$C$152*F$124</f>
        <v>0</v>
      </c>
      <c r="G169" s="80">
        <f>((F101*(1-'5.Closing Stock &amp; W Capital'!$D$15))+(E101*'5.Closing Stock &amp; W Capital'!$D$15))*$C$152*G$124</f>
        <v>0</v>
      </c>
      <c r="H169" s="80">
        <f>((G101*(1-'5.Closing Stock &amp; W Capital'!$D$15))+(F101*'5.Closing Stock &amp; W Capital'!$D$15))*$C$152*H$124</f>
        <v>0</v>
      </c>
      <c r="I169" s="80">
        <f>((H101*(1-'5.Closing Stock &amp; W Capital'!$D$15))+(G101*'5.Closing Stock &amp; W Capital'!$D$15))*$C$152*I$124</f>
        <v>0</v>
      </c>
      <c r="J169" s="80">
        <f>((I101*(1-'5.Closing Stock &amp; W Capital'!$D$15))+(H101*'5.Closing Stock &amp; W Capital'!$D$15))*$C$152*J$124</f>
        <v>0</v>
      </c>
      <c r="K169" s="73"/>
      <c r="U169" s="73"/>
      <c r="V169" s="73"/>
      <c r="W169" s="73"/>
    </row>
    <row r="170" spans="1:23" ht="15.75" customHeight="1">
      <c r="A170" s="78">
        <f t="shared" si="54"/>
        <v>0</v>
      </c>
      <c r="B170" s="78"/>
      <c r="C170" s="79"/>
      <c r="D170" s="80">
        <f>(C102*(1-'5.Closing Stock &amp; W Capital'!$D$15))*$C170*D$124</f>
        <v>0</v>
      </c>
      <c r="E170" s="80">
        <f>((D102*(1-'5.Closing Stock &amp; W Capital'!$D$15))+(C102*'5.Closing Stock &amp; W Capital'!$D$15))*$C170*E$124</f>
        <v>0</v>
      </c>
      <c r="F170" s="80">
        <f>((E102*(1-'5.Closing Stock &amp; W Capital'!$D$15))+(D102*'5.Closing Stock &amp; W Capital'!$D$15))*$C$152*F$124</f>
        <v>0</v>
      </c>
      <c r="G170" s="80">
        <f>((F102*(1-'5.Closing Stock &amp; W Capital'!$D$15))+(E102*'5.Closing Stock &amp; W Capital'!$D$15))*$C$152*G$124</f>
        <v>0</v>
      </c>
      <c r="H170" s="80">
        <f>((G102*(1-'5.Closing Stock &amp; W Capital'!$D$15))+(F102*'5.Closing Stock &amp; W Capital'!$D$15))*$C$152*H$124</f>
        <v>0</v>
      </c>
      <c r="I170" s="80">
        <f>((H102*(1-'5.Closing Stock &amp; W Capital'!$D$15))+(G102*'5.Closing Stock &amp; W Capital'!$D$15))*$C$152*I$124</f>
        <v>0</v>
      </c>
      <c r="J170" s="80">
        <f>((I102*(1-'5.Closing Stock &amp; W Capital'!$D$15))+(H102*'5.Closing Stock &amp; W Capital'!$D$15))*$C$152*J$124</f>
        <v>0</v>
      </c>
      <c r="K170" s="73"/>
      <c r="U170" s="73"/>
      <c r="V170" s="73"/>
      <c r="W170" s="73"/>
    </row>
    <row r="171" spans="1:23" ht="15.75" customHeight="1">
      <c r="A171" s="78">
        <f t="shared" si="54"/>
        <v>0</v>
      </c>
      <c r="B171" s="78"/>
      <c r="C171" s="79"/>
      <c r="D171" s="80">
        <f>(C103*(1-'5.Closing Stock &amp; W Capital'!$D$15))*$C171*D$124</f>
        <v>0</v>
      </c>
      <c r="E171" s="80">
        <f>((D103*(1-'5.Closing Stock &amp; W Capital'!$D$15))+(C103*'5.Closing Stock &amp; W Capital'!$D$15))*$C171*E$124</f>
        <v>0</v>
      </c>
      <c r="F171" s="80">
        <f>((E103*(1-'5.Closing Stock &amp; W Capital'!$D$15))+(D103*'5.Closing Stock &amp; W Capital'!$D$15))*$C$152*F$124</f>
        <v>0</v>
      </c>
      <c r="G171" s="80">
        <f>((F103*(1-'5.Closing Stock &amp; W Capital'!$D$15))+(E103*'5.Closing Stock &amp; W Capital'!$D$15))*$C$152*G$124</f>
        <v>0</v>
      </c>
      <c r="H171" s="80">
        <f>((G103*(1-'5.Closing Stock &amp; W Capital'!$D$15))+(F103*'5.Closing Stock &amp; W Capital'!$D$15))*$C$152*H$124</f>
        <v>0</v>
      </c>
      <c r="I171" s="80">
        <f>((H103*(1-'5.Closing Stock &amp; W Capital'!$D$15))+(G103*'5.Closing Stock &amp; W Capital'!$D$15))*$C$152*I$124</f>
        <v>0</v>
      </c>
      <c r="J171" s="80">
        <f>((I103*(1-'5.Closing Stock &amp; W Capital'!$D$15))+(H103*'5.Closing Stock &amp; W Capital'!$D$15))*$C$152*J$124</f>
        <v>0</v>
      </c>
      <c r="K171" s="73"/>
      <c r="U171" s="73"/>
      <c r="V171" s="73"/>
      <c r="W171" s="73"/>
    </row>
    <row r="172" spans="1:23" ht="15.75" customHeight="1">
      <c r="A172" s="78">
        <f t="shared" si="54"/>
        <v>0</v>
      </c>
      <c r="B172" s="78"/>
      <c r="C172" s="79"/>
      <c r="D172" s="80">
        <f>(C104*(1-'5.Closing Stock &amp; W Capital'!$D$15))*$C172*D$124</f>
        <v>0</v>
      </c>
      <c r="E172" s="80">
        <f>((D104*(1-'5.Closing Stock &amp; W Capital'!$D$15))+(C104*'5.Closing Stock &amp; W Capital'!$D$15))*$C172*E$124</f>
        <v>0</v>
      </c>
      <c r="F172" s="80">
        <f>((E104*(1-'5.Closing Stock &amp; W Capital'!$D$15))+(D104*'5.Closing Stock &amp; W Capital'!$D$15))*$C$152*F$124</f>
        <v>0</v>
      </c>
      <c r="G172" s="80">
        <f>((F104*(1-'5.Closing Stock &amp; W Capital'!$D$15))+(E104*'5.Closing Stock &amp; W Capital'!$D$15))*$C$152*G$124</f>
        <v>0</v>
      </c>
      <c r="H172" s="80">
        <f>((G104*(1-'5.Closing Stock &amp; W Capital'!$D$15))+(F104*'5.Closing Stock &amp; W Capital'!$D$15))*$C$152*H$124</f>
        <v>0</v>
      </c>
      <c r="I172" s="80">
        <f>((H104*(1-'5.Closing Stock &amp; W Capital'!$D$15))+(G104*'5.Closing Stock &amp; W Capital'!$D$15))*$C$152*I$124</f>
        <v>0</v>
      </c>
      <c r="J172" s="80">
        <f>((I104*(1-'5.Closing Stock &amp; W Capital'!$D$15))+(H104*'5.Closing Stock &amp; W Capital'!$D$15))*$C$152*J$124</f>
        <v>0</v>
      </c>
      <c r="K172" s="73"/>
      <c r="U172" s="73"/>
      <c r="V172" s="73"/>
      <c r="W172" s="73"/>
    </row>
    <row r="173" spans="1:23" ht="15.75" customHeight="1">
      <c r="A173" s="78">
        <f t="shared" si="54"/>
        <v>0</v>
      </c>
      <c r="B173" s="78"/>
      <c r="C173" s="79"/>
      <c r="D173" s="80">
        <f>(C105*(1-'5.Closing Stock &amp; W Capital'!$D$15))*$C173*D$124</f>
        <v>0</v>
      </c>
      <c r="E173" s="80">
        <f>((D105*(1-'5.Closing Stock &amp; W Capital'!$D$15))+(C105*'5.Closing Stock &amp; W Capital'!$D$15))*$C173*E$124</f>
        <v>0</v>
      </c>
      <c r="F173" s="80">
        <f>((E105*(1-'5.Closing Stock &amp; W Capital'!$D$15))+(D105*'5.Closing Stock &amp; W Capital'!$D$15))*$C$152*F$124</f>
        <v>0</v>
      </c>
      <c r="G173" s="80">
        <f>((F105*(1-'5.Closing Stock &amp; W Capital'!$D$15))+(E105*'5.Closing Stock &amp; W Capital'!$D$15))*$C$152*G$124</f>
        <v>0</v>
      </c>
      <c r="H173" s="80">
        <f>((G105*(1-'5.Closing Stock &amp; W Capital'!$D$15))+(F105*'5.Closing Stock &amp; W Capital'!$D$15))*$C$152*H$124</f>
        <v>0</v>
      </c>
      <c r="I173" s="80">
        <f>((H105*(1-'5.Closing Stock &amp; W Capital'!$D$15))+(G105*'5.Closing Stock &amp; W Capital'!$D$15))*$C$152*I$124</f>
        <v>0</v>
      </c>
      <c r="J173" s="80">
        <f>((I105*(1-'5.Closing Stock &amp; W Capital'!$D$15))+(H105*'5.Closing Stock &amp; W Capital'!$D$15))*$C$152*J$124</f>
        <v>0</v>
      </c>
      <c r="K173" s="73"/>
      <c r="U173" s="73"/>
      <c r="V173" s="73"/>
      <c r="W173" s="73"/>
    </row>
    <row r="174" spans="1:23" ht="15.75" customHeight="1">
      <c r="A174" s="78">
        <f t="shared" si="54"/>
        <v>0</v>
      </c>
      <c r="B174" s="78"/>
      <c r="C174" s="79"/>
      <c r="D174" s="80">
        <f>(C106*(1-'5.Closing Stock &amp; W Capital'!$D$15))*$C174*D$124</f>
        <v>0</v>
      </c>
      <c r="E174" s="80">
        <f>((D106*(1-'5.Closing Stock &amp; W Capital'!$D$15))+(C106*'5.Closing Stock &amp; W Capital'!$D$15))*$C174*E$124</f>
        <v>0</v>
      </c>
      <c r="F174" s="80">
        <f>((E106*(1-'5.Closing Stock &amp; W Capital'!$D$15))+(D106*'5.Closing Stock &amp; W Capital'!$D$15))*$C$152*F$124</f>
        <v>0</v>
      </c>
      <c r="G174" s="80">
        <f>((F106*(1-'5.Closing Stock &amp; W Capital'!$D$15))+(E106*'5.Closing Stock &amp; W Capital'!$D$15))*$C$152*G$124</f>
        <v>0</v>
      </c>
      <c r="H174" s="80">
        <f>((G106*(1-'5.Closing Stock &amp; W Capital'!$D$15))+(F106*'5.Closing Stock &amp; W Capital'!$D$15))*$C$152*H$124</f>
        <v>0</v>
      </c>
      <c r="I174" s="80">
        <f>((H106*(1-'5.Closing Stock &amp; W Capital'!$D$15))+(G106*'5.Closing Stock &amp; W Capital'!$D$15))*$C$152*I$124</f>
        <v>0</v>
      </c>
      <c r="J174" s="80">
        <f>((I106*(1-'5.Closing Stock &amp; W Capital'!$D$15))+(H106*'5.Closing Stock &amp; W Capital'!$D$15))*$C$152*J$124</f>
        <v>0</v>
      </c>
      <c r="K174" s="73"/>
      <c r="U174" s="73"/>
      <c r="V174" s="73"/>
      <c r="W174" s="73"/>
    </row>
    <row r="175" spans="1:23" ht="15.75" customHeight="1">
      <c r="A175" s="78" t="str">
        <f t="shared" si="54"/>
        <v>Pomegranate</v>
      </c>
      <c r="B175" s="78"/>
      <c r="C175" s="79"/>
      <c r="D175" s="80">
        <f>(C107*(1-'5.Closing Stock &amp; W Capital'!$D$15))*$C175*D$124</f>
        <v>0</v>
      </c>
      <c r="E175" s="80">
        <f>((D107*(1-'5.Closing Stock &amp; W Capital'!$D$15))+(C107*'5.Closing Stock &amp; W Capital'!$D$15))*$C175*E$124</f>
        <v>0</v>
      </c>
      <c r="F175" s="80">
        <f>((E107*(1-'5.Closing Stock &amp; W Capital'!$D$15))+(D107*'5.Closing Stock &amp; W Capital'!$D$15))*$C$152*F$124</f>
        <v>0</v>
      </c>
      <c r="G175" s="80">
        <f>((F107*(1-'5.Closing Stock &amp; W Capital'!$D$15))+(E107*'5.Closing Stock &amp; W Capital'!$D$15))*$C$152*G$124</f>
        <v>0</v>
      </c>
      <c r="H175" s="80">
        <f>((G107*(1-'5.Closing Stock &amp; W Capital'!$D$15))+(F107*'5.Closing Stock &amp; W Capital'!$D$15))*$C$152*H$124</f>
        <v>0</v>
      </c>
      <c r="I175" s="80">
        <f>((H107*(1-'5.Closing Stock &amp; W Capital'!$D$15))+(G107*'5.Closing Stock &amp; W Capital'!$D$15))*$C$152*I$124</f>
        <v>0</v>
      </c>
      <c r="J175" s="80">
        <f>((I107*(1-'5.Closing Stock &amp; W Capital'!$D$15))+(H107*'5.Closing Stock &amp; W Capital'!$D$15))*$C$152*J$124</f>
        <v>0</v>
      </c>
      <c r="K175" s="73"/>
      <c r="U175" s="73"/>
      <c r="V175" s="73"/>
      <c r="W175" s="73"/>
    </row>
    <row r="176" spans="1:23" ht="15.75" customHeight="1">
      <c r="A176" s="78" t="str">
        <f t="shared" si="54"/>
        <v>Custard Apple</v>
      </c>
      <c r="B176" s="78"/>
      <c r="C176" s="79"/>
      <c r="D176" s="80">
        <f>(C108*(1-'5.Closing Stock &amp; W Capital'!$D$15))*$C176*D$124</f>
        <v>0</v>
      </c>
      <c r="E176" s="80">
        <f>((D108*(1-'5.Closing Stock &amp; W Capital'!$D$15))+(C108*'5.Closing Stock &amp; W Capital'!$D$15))*$C176*E$124</f>
        <v>0</v>
      </c>
      <c r="F176" s="80">
        <f>((E108*(1-'5.Closing Stock &amp; W Capital'!$D$15))+(D108*'5.Closing Stock &amp; W Capital'!$D$15))*$C$152*F$124</f>
        <v>0</v>
      </c>
      <c r="G176" s="80">
        <f>((F108*(1-'5.Closing Stock &amp; W Capital'!$D$15))+(E108*'5.Closing Stock &amp; W Capital'!$D$15))*$C$152*G$124</f>
        <v>0</v>
      </c>
      <c r="H176" s="80">
        <f>((G108*(1-'5.Closing Stock &amp; W Capital'!$D$15))+(F108*'5.Closing Stock &amp; W Capital'!$D$15))*$C$152*H$124</f>
        <v>0</v>
      </c>
      <c r="I176" s="80">
        <f>((H108*(1-'5.Closing Stock &amp; W Capital'!$D$15))+(G108*'5.Closing Stock &amp; W Capital'!$D$15))*$C$152*I$124</f>
        <v>0</v>
      </c>
      <c r="J176" s="80">
        <f>((I108*(1-'5.Closing Stock &amp; W Capital'!$D$15))+(H108*'5.Closing Stock &amp; W Capital'!$D$15))*$C$152*J$124</f>
        <v>0</v>
      </c>
      <c r="K176" s="73"/>
      <c r="U176" s="73"/>
      <c r="V176" s="73"/>
      <c r="W176" s="73"/>
    </row>
    <row r="177" spans="1:23" ht="15.75" customHeight="1">
      <c r="A177" s="78" t="str">
        <f t="shared" si="54"/>
        <v>Guava</v>
      </c>
      <c r="B177" s="78"/>
      <c r="C177" s="79"/>
      <c r="D177" s="80">
        <f>(C109*(1-'5.Closing Stock &amp; W Capital'!$D$15))*$C177*D$124</f>
        <v>0</v>
      </c>
      <c r="E177" s="80">
        <f>((D109*(1-'5.Closing Stock &amp; W Capital'!$D$15))+(C109*'5.Closing Stock &amp; W Capital'!$D$15))*$C177*E$124</f>
        <v>0</v>
      </c>
      <c r="F177" s="80">
        <f>((E109*(1-'5.Closing Stock &amp; W Capital'!$D$15))+(D109*'5.Closing Stock &amp; W Capital'!$D$15))*$C$152*F$124</f>
        <v>0</v>
      </c>
      <c r="G177" s="80">
        <f>((F109*(1-'5.Closing Stock &amp; W Capital'!$D$15))+(E109*'5.Closing Stock &amp; W Capital'!$D$15))*$C$152*G$124</f>
        <v>0</v>
      </c>
      <c r="H177" s="80">
        <f>((G109*(1-'5.Closing Stock &amp; W Capital'!$D$15))+(F109*'5.Closing Stock &amp; W Capital'!$D$15))*$C$152*H$124</f>
        <v>0</v>
      </c>
      <c r="I177" s="80">
        <f>((H109*(1-'5.Closing Stock &amp; W Capital'!$D$15))+(G109*'5.Closing Stock &amp; W Capital'!$D$15))*$C$152*I$124</f>
        <v>0</v>
      </c>
      <c r="J177" s="80">
        <f>((I109*(1-'5.Closing Stock &amp; W Capital'!$D$15))+(H109*'5.Closing Stock &amp; W Capital'!$D$15))*$C$152*J$124</f>
        <v>0</v>
      </c>
      <c r="K177" s="73"/>
      <c r="U177" s="73"/>
      <c r="V177" s="73"/>
      <c r="W177" s="73"/>
    </row>
    <row r="178" spans="1:23" ht="15.75" customHeight="1">
      <c r="A178" s="78" t="str">
        <f t="shared" si="54"/>
        <v>Citrus</v>
      </c>
      <c r="B178" s="78"/>
      <c r="C178" s="79"/>
      <c r="D178" s="80">
        <f>(C110*(1-'5.Closing Stock &amp; W Capital'!$D$15))*$C178*D$124</f>
        <v>0</v>
      </c>
      <c r="E178" s="80">
        <f>((D110*(1-'5.Closing Stock &amp; W Capital'!$D$15))+(C110*'5.Closing Stock &amp; W Capital'!$D$15))*$C178*E$124</f>
        <v>0</v>
      </c>
      <c r="F178" s="80">
        <f>((E110*(1-'5.Closing Stock &amp; W Capital'!$D$15))+(D110*'5.Closing Stock &amp; W Capital'!$D$15))*$C$152*F$124</f>
        <v>0</v>
      </c>
      <c r="G178" s="80">
        <f>((F110*(1-'5.Closing Stock &amp; W Capital'!$D$15))+(E110*'5.Closing Stock &amp; W Capital'!$D$15))*$C$152*G$124</f>
        <v>0</v>
      </c>
      <c r="H178" s="80">
        <f>((G110*(1-'5.Closing Stock &amp; W Capital'!$D$15))+(F110*'5.Closing Stock &amp; W Capital'!$D$15))*$C$152*H$124</f>
        <v>0</v>
      </c>
      <c r="I178" s="80">
        <f>((H110*(1-'5.Closing Stock &amp; W Capital'!$D$15))+(G110*'5.Closing Stock &amp; W Capital'!$D$15))*$C$152*I$124</f>
        <v>0</v>
      </c>
      <c r="J178" s="80">
        <f>((I110*(1-'5.Closing Stock &amp; W Capital'!$D$15))+(H110*'5.Closing Stock &amp; W Capital'!$D$15))*$C$152*J$124</f>
        <v>0</v>
      </c>
      <c r="K178" s="73"/>
      <c r="U178" s="73"/>
      <c r="V178" s="73"/>
      <c r="W178" s="73"/>
    </row>
    <row r="179" spans="1:23" ht="15.75" customHeight="1">
      <c r="A179" s="78">
        <f t="shared" si="54"/>
        <v>0</v>
      </c>
      <c r="B179" s="78"/>
      <c r="C179" s="79"/>
      <c r="D179" s="80"/>
      <c r="E179" s="80"/>
      <c r="F179" s="80"/>
      <c r="G179" s="80"/>
      <c r="H179" s="80"/>
      <c r="I179" s="80"/>
      <c r="J179" s="80"/>
      <c r="K179" s="73"/>
      <c r="U179" s="73"/>
      <c r="V179" s="73"/>
      <c r="W179" s="73"/>
    </row>
    <row r="180" spans="1:23" ht="15.75" customHeight="1">
      <c r="A180" s="78"/>
      <c r="B180" s="78"/>
      <c r="C180" s="80"/>
      <c r="D180" s="80"/>
      <c r="E180" s="80"/>
      <c r="F180" s="80"/>
      <c r="G180" s="80"/>
      <c r="H180" s="80"/>
      <c r="I180" s="80"/>
      <c r="J180" s="80"/>
      <c r="K180" s="73"/>
      <c r="U180" s="73"/>
      <c r="V180" s="73"/>
      <c r="W180" s="73"/>
    </row>
    <row r="181" spans="1:23" ht="15.75" customHeight="1">
      <c r="A181" s="78" t="s">
        <v>686</v>
      </c>
      <c r="B181" s="78"/>
      <c r="C181" s="80"/>
      <c r="D181" s="80"/>
      <c r="E181" s="80"/>
      <c r="F181" s="80"/>
      <c r="G181" s="80"/>
      <c r="H181" s="80"/>
      <c r="I181" s="80"/>
      <c r="J181" s="80"/>
      <c r="K181" s="73"/>
      <c r="U181" s="73"/>
      <c r="V181" s="73"/>
      <c r="W181" s="73"/>
    </row>
    <row r="182" spans="1:23" ht="15.75" customHeight="1">
      <c r="A182" s="78" t="s">
        <v>678</v>
      </c>
      <c r="B182" s="78"/>
      <c r="C182" s="79">
        <f>350/50</f>
        <v>7</v>
      </c>
      <c r="D182" s="80">
        <f>(C114*(1-'5.Closing Stock &amp; W Capital'!$D$15))*$C$182*D124</f>
        <v>0</v>
      </c>
      <c r="E182" s="80">
        <f>((D114*(1-'5.Closing Stock &amp; W Capital'!$D$15))+(C114*'5.Closing Stock &amp; W Capital'!$D$15))*$C$182*E124</f>
        <v>0</v>
      </c>
      <c r="F182" s="80">
        <f>((E114*(1-'5.Closing Stock &amp; W Capital'!$D$15))+(D114*'5.Closing Stock &amp; W Capital'!$D$15))*$C$182*F124</f>
        <v>0</v>
      </c>
      <c r="G182" s="80">
        <f>((F114*(1-'5.Closing Stock &amp; W Capital'!$D$15))+(E114*'5.Closing Stock &amp; W Capital'!$D$15))*$C$182*G124</f>
        <v>0</v>
      </c>
      <c r="H182" s="80">
        <f>((G114*(1-'5.Closing Stock &amp; W Capital'!$D$15))+(F114*'5.Closing Stock &amp; W Capital'!$D$15))*$C$182*H124</f>
        <v>0</v>
      </c>
      <c r="I182" s="80">
        <f>((H114*(1-'5.Closing Stock &amp; W Capital'!$D$15))+(G114*'5.Closing Stock &amp; W Capital'!$D$15))*$C$182*I124</f>
        <v>0</v>
      </c>
      <c r="J182" s="80">
        <f>((I114*(1-'5.Closing Stock &amp; W Capital'!$D$15))+(H114*'5.Closing Stock &amp; W Capital'!$D$15))*$C$182*J124</f>
        <v>0</v>
      </c>
      <c r="K182" s="73"/>
      <c r="U182" s="73"/>
      <c r="V182" s="73"/>
      <c r="W182" s="73"/>
    </row>
    <row r="183" spans="1:23" ht="15.75" customHeight="1">
      <c r="A183" s="78" t="s">
        <v>679</v>
      </c>
      <c r="B183" s="78"/>
      <c r="C183" s="79">
        <v>8</v>
      </c>
      <c r="D183" s="80">
        <f>(C115*(1-'5.Closing Stock &amp; W Capital'!$D$15))*$C$183*D124</f>
        <v>0</v>
      </c>
      <c r="E183" s="80">
        <f>((D115*(1-'5.Closing Stock &amp; W Capital'!$D$15))+(C115*'5.Closing Stock &amp; W Capital'!$D$15))*$C$183*E124</f>
        <v>0</v>
      </c>
      <c r="F183" s="80">
        <f>((E115*(1-'5.Closing Stock &amp; W Capital'!$D$15))+(D115*'5.Closing Stock &amp; W Capital'!$D$15))*$C$183*F124</f>
        <v>0</v>
      </c>
      <c r="G183" s="80">
        <f>((F115*(1-'5.Closing Stock &amp; W Capital'!$D$15))+(E115*'5.Closing Stock &amp; W Capital'!$D$15))*$C$183*G124</f>
        <v>0</v>
      </c>
      <c r="H183" s="80">
        <f>((G115*(1-'5.Closing Stock &amp; W Capital'!$D$15))+(F115*'5.Closing Stock &amp; W Capital'!$D$15))*$C$183*H124</f>
        <v>0</v>
      </c>
      <c r="I183" s="80">
        <f>((H115*(1-'5.Closing Stock &amp; W Capital'!$D$15))+(G115*'5.Closing Stock &amp; W Capital'!$D$15))*$C$183*I124</f>
        <v>0</v>
      </c>
      <c r="J183" s="80">
        <f>((I115*(1-'5.Closing Stock &amp; W Capital'!$D$15))+(H115*'5.Closing Stock &amp; W Capital'!$D$15))*$C$183*J124</f>
        <v>0</v>
      </c>
      <c r="K183" s="73"/>
      <c r="U183" s="73"/>
      <c r="V183" s="73"/>
      <c r="W183" s="73"/>
    </row>
    <row r="184" spans="1:23" ht="15.75" customHeight="1">
      <c r="A184" s="78" t="s">
        <v>680</v>
      </c>
      <c r="B184" s="78"/>
      <c r="C184" s="79">
        <v>30</v>
      </c>
      <c r="D184" s="80">
        <f>(C116*(1-'5.Closing Stock &amp; W Capital'!$D$15))*$C$184*D124</f>
        <v>0</v>
      </c>
      <c r="E184" s="80">
        <f>((D116*(1-'5.Closing Stock &amp; W Capital'!$D$15))+(C116*'5.Closing Stock &amp; W Capital'!$D$15))*$C$184*E124</f>
        <v>0</v>
      </c>
      <c r="F184" s="80">
        <f>((E116*(1-'5.Closing Stock &amp; W Capital'!$D$15))+(D116*'5.Closing Stock &amp; W Capital'!$D$15))*$C$184*F124</f>
        <v>0</v>
      </c>
      <c r="G184" s="80">
        <f>((F116*(1-'5.Closing Stock &amp; W Capital'!$D$15))+(E116*'5.Closing Stock &amp; W Capital'!$D$15))*$C$184*G124</f>
        <v>0</v>
      </c>
      <c r="H184" s="80">
        <f>((G116*(1-'5.Closing Stock &amp; W Capital'!$D$15))+(F116*'5.Closing Stock &amp; W Capital'!$D$15))*$C$184*H124</f>
        <v>0</v>
      </c>
      <c r="I184" s="80">
        <f>((H116*(1-'5.Closing Stock &amp; W Capital'!$D$15))+(G116*'5.Closing Stock &amp; W Capital'!$D$15))*$C$184*I124</f>
        <v>0</v>
      </c>
      <c r="J184" s="80">
        <f>((I116*(1-'5.Closing Stock &amp; W Capital'!$D$15))+(H116*'5.Closing Stock &amp; W Capital'!$D$15))*$C$184*J124</f>
        <v>0</v>
      </c>
      <c r="K184" s="73"/>
      <c r="U184" s="73"/>
      <c r="V184" s="73"/>
      <c r="W184" s="73"/>
    </row>
    <row r="185" spans="1:23" ht="15.75" customHeight="1">
      <c r="A185" s="78"/>
      <c r="B185" s="78"/>
      <c r="C185" s="80"/>
      <c r="D185" s="80"/>
      <c r="E185" s="80"/>
      <c r="F185" s="80"/>
      <c r="G185" s="80"/>
      <c r="H185" s="80"/>
      <c r="I185" s="80"/>
      <c r="J185" s="80"/>
      <c r="K185" s="73"/>
      <c r="U185" s="73"/>
      <c r="V185" s="73"/>
      <c r="W185" s="73"/>
    </row>
    <row r="186" spans="1:23" ht="15.75" customHeight="1">
      <c r="A186" s="78" t="s">
        <v>681</v>
      </c>
      <c r="B186" s="78"/>
      <c r="C186" s="80"/>
      <c r="D186" s="80"/>
      <c r="E186" s="80"/>
      <c r="F186" s="80"/>
      <c r="G186" s="80"/>
      <c r="H186" s="80"/>
      <c r="I186" s="80"/>
      <c r="J186" s="80"/>
      <c r="K186" s="73"/>
      <c r="U186" s="73"/>
      <c r="V186" s="73"/>
      <c r="W186" s="73"/>
    </row>
    <row r="187" spans="1:23" ht="15.75" customHeight="1">
      <c r="A187" s="78" t="s">
        <v>682</v>
      </c>
      <c r="B187" s="78"/>
      <c r="C187" s="79">
        <v>3000</v>
      </c>
      <c r="D187" s="80">
        <f>(C118*(1-'5.Closing Stock &amp; W Capital'!$D$15))*$C$187*D124</f>
        <v>0</v>
      </c>
      <c r="E187" s="80">
        <f>((D118*(1-'5.Closing Stock &amp; W Capital'!$D$15))+(C118*'5.Closing Stock &amp; W Capital'!$D$15))*$C$187*E124</f>
        <v>0</v>
      </c>
      <c r="F187" s="80">
        <f>((E118*(1-'5.Closing Stock &amp; W Capital'!$D$15))+(D118*'5.Closing Stock &amp; W Capital'!$D$15))*$C$187*F124</f>
        <v>0</v>
      </c>
      <c r="G187" s="80">
        <f>((F118*(1-'5.Closing Stock &amp; W Capital'!$D$15))+(E118*'5.Closing Stock &amp; W Capital'!$D$15))*$C$187*G124</f>
        <v>0</v>
      </c>
      <c r="H187" s="80">
        <f>((G118*(1-'5.Closing Stock &amp; W Capital'!$D$15))+(F118*'5.Closing Stock &amp; W Capital'!$D$15))*$C$187*H124</f>
        <v>0</v>
      </c>
      <c r="I187" s="80">
        <f>((H118*(1-'5.Closing Stock &amp; W Capital'!$D$15))+(G118*'5.Closing Stock &amp; W Capital'!$D$15))*$C$187*I124</f>
        <v>0</v>
      </c>
      <c r="J187" s="80">
        <f>((I118*(1-'5.Closing Stock &amp; W Capital'!$D$15))+(H118*'5.Closing Stock &amp; W Capital'!$D$15))*$C$187*J124</f>
        <v>0</v>
      </c>
      <c r="K187" s="73"/>
      <c r="U187" s="288"/>
      <c r="V187" s="288"/>
      <c r="W187" s="288"/>
    </row>
    <row r="188" spans="1:23" ht="15.75" customHeight="1">
      <c r="A188" s="78" t="s">
        <v>683</v>
      </c>
      <c r="B188" s="78"/>
      <c r="C188" s="79">
        <v>2200</v>
      </c>
      <c r="D188" s="80">
        <f>(C119*(1-'5.Closing Stock &amp; W Capital'!$D$15))*$C$188*D124</f>
        <v>0</v>
      </c>
      <c r="E188" s="80">
        <f>((D119*(1-'5.Closing Stock &amp; W Capital'!$D$15))+(C119*'5.Closing Stock &amp; W Capital'!$D$15))*$C$188*E124</f>
        <v>0</v>
      </c>
      <c r="F188" s="80">
        <f>((E119*(1-'5.Closing Stock &amp; W Capital'!$D$15))+(D119*'5.Closing Stock &amp; W Capital'!$D$15))*$C$188*F124</f>
        <v>0</v>
      </c>
      <c r="G188" s="80">
        <f>((F119*(1-'5.Closing Stock &amp; W Capital'!$D$15))+(E119*'5.Closing Stock &amp; W Capital'!$D$15))*$C$188*G124</f>
        <v>0</v>
      </c>
      <c r="H188" s="80">
        <f>((G119*(1-'5.Closing Stock &amp; W Capital'!$D$15))+(F119*'5.Closing Stock &amp; W Capital'!$D$15))*$C$188*H124</f>
        <v>0</v>
      </c>
      <c r="I188" s="80">
        <f>((H119*(1-'5.Closing Stock &amp; W Capital'!$D$15))+(G119*'5.Closing Stock &amp; W Capital'!$D$15))*$C$188*I124</f>
        <v>0</v>
      </c>
      <c r="J188" s="80">
        <f>((I119*(1-'5.Closing Stock &amp; W Capital'!$D$15))+(H119*'5.Closing Stock &amp; W Capital'!$D$15))*$C$188*J124</f>
        <v>0</v>
      </c>
      <c r="K188" s="73"/>
      <c r="U188" s="73"/>
      <c r="V188" s="73"/>
      <c r="W188" s="73"/>
    </row>
    <row r="189" spans="1:23" ht="15.75" customHeight="1">
      <c r="A189" s="78"/>
      <c r="B189" s="78"/>
      <c r="C189" s="80"/>
      <c r="D189" s="80"/>
      <c r="E189" s="80"/>
      <c r="F189" s="80"/>
      <c r="G189" s="80"/>
      <c r="H189" s="80"/>
      <c r="I189" s="80"/>
      <c r="J189" s="80"/>
      <c r="K189" s="73"/>
      <c r="U189" s="73"/>
      <c r="V189" s="73"/>
      <c r="W189" s="73"/>
    </row>
    <row r="190" spans="1:23" ht="15.75" customHeight="1">
      <c r="A190" s="78"/>
      <c r="B190" s="78"/>
      <c r="C190" s="80"/>
      <c r="D190" s="80"/>
      <c r="E190" s="80"/>
      <c r="F190" s="80"/>
      <c r="G190" s="80"/>
      <c r="H190" s="80"/>
      <c r="I190" s="80"/>
      <c r="J190" s="80"/>
      <c r="K190" s="73"/>
      <c r="U190" s="73"/>
      <c r="V190" s="73"/>
      <c r="W190" s="73"/>
    </row>
    <row r="191" spans="1:23" ht="15.75" customHeight="1">
      <c r="A191" s="81" t="s">
        <v>357</v>
      </c>
      <c r="B191" s="81"/>
      <c r="C191" s="82"/>
      <c r="D191" s="82">
        <f t="shared" ref="D191:J191" si="55">SUM(D130:D188)</f>
        <v>0</v>
      </c>
      <c r="E191" s="82">
        <f t="shared" si="55"/>
        <v>0</v>
      </c>
      <c r="F191" s="82">
        <f t="shared" si="55"/>
        <v>0</v>
      </c>
      <c r="G191" s="82">
        <f t="shared" si="55"/>
        <v>0</v>
      </c>
      <c r="H191" s="82">
        <f t="shared" si="55"/>
        <v>0</v>
      </c>
      <c r="I191" s="82">
        <f t="shared" si="55"/>
        <v>0</v>
      </c>
      <c r="J191" s="82">
        <f t="shared" si="55"/>
        <v>0</v>
      </c>
      <c r="K191" s="73"/>
      <c r="U191" s="73"/>
      <c r="V191" s="73"/>
      <c r="W191" s="73"/>
    </row>
    <row r="192" spans="1:23" ht="15.75" customHeight="1">
      <c r="A192" s="78"/>
      <c r="B192" s="78"/>
      <c r="C192" s="80"/>
      <c r="D192" s="80"/>
      <c r="E192" s="80"/>
      <c r="F192" s="80"/>
      <c r="G192" s="80"/>
      <c r="H192" s="80"/>
      <c r="I192" s="80"/>
      <c r="J192" s="80"/>
      <c r="K192" s="73"/>
      <c r="U192" s="73"/>
      <c r="V192" s="73"/>
      <c r="W192" s="73"/>
    </row>
    <row r="193" spans="1:23" ht="15.75" customHeight="1">
      <c r="A193" s="78"/>
      <c r="B193" s="78"/>
      <c r="C193" s="80"/>
      <c r="D193" s="80"/>
      <c r="E193" s="80"/>
      <c r="F193" s="80"/>
      <c r="G193" s="80"/>
      <c r="H193" s="80"/>
      <c r="I193" s="80"/>
      <c r="J193" s="80"/>
      <c r="K193" s="73"/>
      <c r="U193" s="73"/>
      <c r="V193" s="73"/>
      <c r="W193" s="73"/>
    </row>
    <row r="194" spans="1:23" ht="15.75" customHeight="1">
      <c r="A194" s="81" t="s">
        <v>590</v>
      </c>
      <c r="B194" s="81"/>
      <c r="C194" s="80"/>
      <c r="D194" s="80"/>
      <c r="E194" s="80"/>
      <c r="F194" s="80"/>
      <c r="G194" s="80"/>
      <c r="H194" s="80"/>
      <c r="I194" s="80"/>
      <c r="J194" s="80"/>
      <c r="K194" s="73"/>
      <c r="U194" s="73"/>
      <c r="V194" s="73"/>
      <c r="W194" s="73"/>
    </row>
    <row r="195" spans="1:23" ht="15.75" customHeight="1">
      <c r="A195" s="81" t="str">
        <f>A128</f>
        <v>Seeds (Rate/KG)</v>
      </c>
      <c r="B195" s="81"/>
      <c r="C195" s="80"/>
      <c r="D195" s="80"/>
      <c r="E195" s="80"/>
      <c r="F195" s="80"/>
      <c r="G195" s="80"/>
      <c r="H195" s="80"/>
      <c r="I195" s="80"/>
      <c r="J195" s="80"/>
      <c r="K195" s="73"/>
      <c r="U195" s="73"/>
      <c r="V195" s="73"/>
      <c r="W195" s="73"/>
    </row>
    <row r="196" spans="1:23" ht="15.75" customHeight="1">
      <c r="A196" s="73" t="s">
        <v>358</v>
      </c>
      <c r="B196" s="73"/>
      <c r="C196" s="73"/>
      <c r="D196" s="73"/>
      <c r="E196" s="73"/>
      <c r="F196" s="73"/>
      <c r="G196" s="73"/>
      <c r="H196" s="73"/>
      <c r="I196" s="73"/>
      <c r="J196" s="73"/>
      <c r="K196" s="73"/>
      <c r="U196" s="73"/>
      <c r="V196" s="73"/>
      <c r="W196" s="73"/>
    </row>
    <row r="197" spans="1:23" ht="15.75" customHeight="1">
      <c r="A197" s="78" t="str">
        <f t="shared" ref="A197:A238" si="56">A130</f>
        <v>Soybean</v>
      </c>
      <c r="B197" s="73"/>
      <c r="C197" s="79">
        <v>85</v>
      </c>
      <c r="D197" s="80">
        <f t="shared" ref="D197:J197" si="57">C62*$C197*D$124</f>
        <v>0</v>
      </c>
      <c r="E197" s="80">
        <f t="shared" si="57"/>
        <v>0</v>
      </c>
      <c r="F197" s="80">
        <f t="shared" si="57"/>
        <v>0</v>
      </c>
      <c r="G197" s="80">
        <f t="shared" si="57"/>
        <v>0</v>
      </c>
      <c r="H197" s="80">
        <f t="shared" si="57"/>
        <v>0</v>
      </c>
      <c r="I197" s="80">
        <f t="shared" si="57"/>
        <v>0</v>
      </c>
      <c r="J197" s="80">
        <f t="shared" si="57"/>
        <v>0</v>
      </c>
      <c r="K197" s="73"/>
      <c r="U197" s="73"/>
      <c r="V197" s="73"/>
      <c r="W197" s="73"/>
    </row>
    <row r="198" spans="1:23" ht="15.75" customHeight="1">
      <c r="A198" s="78" t="str">
        <f t="shared" si="56"/>
        <v>Red Gram/Tur</v>
      </c>
      <c r="B198" s="78"/>
      <c r="C198" s="79">
        <v>75</v>
      </c>
      <c r="D198" s="80">
        <f t="shared" ref="D198:J198" si="58">C63*$C198*D$124</f>
        <v>0</v>
      </c>
      <c r="E198" s="80">
        <f t="shared" si="58"/>
        <v>0</v>
      </c>
      <c r="F198" s="80">
        <f t="shared" si="58"/>
        <v>0</v>
      </c>
      <c r="G198" s="80">
        <f t="shared" si="58"/>
        <v>0</v>
      </c>
      <c r="H198" s="80">
        <f t="shared" si="58"/>
        <v>0</v>
      </c>
      <c r="I198" s="80">
        <f t="shared" si="58"/>
        <v>0</v>
      </c>
      <c r="J198" s="80">
        <f t="shared" si="58"/>
        <v>0</v>
      </c>
      <c r="K198" s="73"/>
      <c r="U198" s="73"/>
      <c r="V198" s="73"/>
      <c r="W198" s="73"/>
    </row>
    <row r="199" spans="1:23" ht="15.75" customHeight="1">
      <c r="A199" s="78" t="str">
        <f t="shared" si="56"/>
        <v>Paddy/Rice</v>
      </c>
      <c r="B199" s="78"/>
      <c r="C199" s="79">
        <v>57</v>
      </c>
      <c r="D199" s="80">
        <f t="shared" ref="D199:J199" si="59">C64*$C199*D$124</f>
        <v>0</v>
      </c>
      <c r="E199" s="80">
        <f t="shared" si="59"/>
        <v>0</v>
      </c>
      <c r="F199" s="80">
        <f t="shared" si="59"/>
        <v>0</v>
      </c>
      <c r="G199" s="80">
        <f t="shared" si="59"/>
        <v>0</v>
      </c>
      <c r="H199" s="80">
        <f t="shared" si="59"/>
        <v>0</v>
      </c>
      <c r="I199" s="80">
        <f t="shared" si="59"/>
        <v>0</v>
      </c>
      <c r="J199" s="80">
        <f t="shared" si="59"/>
        <v>0</v>
      </c>
      <c r="K199" s="73"/>
      <c r="U199" s="73"/>
      <c r="V199" s="73"/>
      <c r="W199" s="73"/>
    </row>
    <row r="200" spans="1:23" ht="15.75" customHeight="1">
      <c r="A200" s="78" t="str">
        <f t="shared" si="56"/>
        <v>Green Gram/ Moong</v>
      </c>
      <c r="B200" s="78"/>
      <c r="C200" s="79">
        <v>80</v>
      </c>
      <c r="D200" s="80">
        <f t="shared" ref="D200:J200" si="60">C65*$C200*D$124</f>
        <v>0</v>
      </c>
      <c r="E200" s="80">
        <f t="shared" si="60"/>
        <v>0</v>
      </c>
      <c r="F200" s="80">
        <f t="shared" si="60"/>
        <v>0</v>
      </c>
      <c r="G200" s="80">
        <f t="shared" si="60"/>
        <v>0</v>
      </c>
      <c r="H200" s="80">
        <f t="shared" si="60"/>
        <v>0</v>
      </c>
      <c r="I200" s="80">
        <f t="shared" si="60"/>
        <v>0</v>
      </c>
      <c r="J200" s="80">
        <f t="shared" si="60"/>
        <v>0</v>
      </c>
      <c r="K200" s="73"/>
      <c r="L200" s="73"/>
      <c r="M200" s="73"/>
      <c r="N200" s="73"/>
      <c r="O200" s="73"/>
      <c r="P200" s="73"/>
      <c r="Q200" s="73"/>
      <c r="R200" s="73"/>
      <c r="S200" s="73"/>
      <c r="T200" s="73"/>
      <c r="U200" s="73"/>
      <c r="V200" s="73"/>
      <c r="W200" s="73"/>
    </row>
    <row r="201" spans="1:23" ht="15.75" customHeight="1">
      <c r="A201" s="78" t="str">
        <f t="shared" si="56"/>
        <v>Maize</v>
      </c>
      <c r="B201" s="78"/>
      <c r="C201" s="79">
        <v>25</v>
      </c>
      <c r="D201" s="80">
        <f t="shared" ref="D201:J201" si="61">C66*$C201*D$124</f>
        <v>0</v>
      </c>
      <c r="E201" s="80">
        <f t="shared" si="61"/>
        <v>0</v>
      </c>
      <c r="F201" s="80">
        <f t="shared" si="61"/>
        <v>0</v>
      </c>
      <c r="G201" s="80">
        <f t="shared" si="61"/>
        <v>0</v>
      </c>
      <c r="H201" s="80">
        <f t="shared" si="61"/>
        <v>0</v>
      </c>
      <c r="I201" s="80">
        <f t="shared" si="61"/>
        <v>0</v>
      </c>
      <c r="J201" s="80">
        <f t="shared" si="61"/>
        <v>0</v>
      </c>
      <c r="K201" s="73"/>
      <c r="L201" s="73"/>
      <c r="M201" s="73"/>
      <c r="N201" s="73"/>
      <c r="O201" s="73"/>
      <c r="P201" s="73"/>
      <c r="Q201" s="73"/>
      <c r="R201" s="73"/>
      <c r="S201" s="73"/>
      <c r="T201" s="73"/>
      <c r="U201" s="73"/>
      <c r="V201" s="73"/>
      <c r="W201" s="73"/>
    </row>
    <row r="202" spans="1:23" ht="15.75" customHeight="1">
      <c r="A202" s="78" t="str">
        <f t="shared" si="56"/>
        <v>Black Gram/Udid</v>
      </c>
      <c r="B202" s="78"/>
      <c r="C202" s="79">
        <v>70</v>
      </c>
      <c r="D202" s="80">
        <f t="shared" ref="D202:J202" si="62">C67*$C202*D$124</f>
        <v>0</v>
      </c>
      <c r="E202" s="80">
        <f t="shared" si="62"/>
        <v>0</v>
      </c>
      <c r="F202" s="80">
        <f t="shared" si="62"/>
        <v>0</v>
      </c>
      <c r="G202" s="80">
        <f t="shared" si="62"/>
        <v>0</v>
      </c>
      <c r="H202" s="80">
        <f t="shared" si="62"/>
        <v>0</v>
      </c>
      <c r="I202" s="80">
        <f t="shared" si="62"/>
        <v>0</v>
      </c>
      <c r="J202" s="80">
        <f t="shared" si="62"/>
        <v>0</v>
      </c>
      <c r="K202" s="73"/>
      <c r="L202" s="73"/>
      <c r="M202" s="73"/>
      <c r="N202" s="73"/>
      <c r="O202" s="73"/>
      <c r="P202" s="73"/>
      <c r="Q202" s="73"/>
      <c r="R202" s="73"/>
      <c r="S202" s="73"/>
      <c r="T202" s="73"/>
      <c r="U202" s="73"/>
      <c r="V202" s="73"/>
      <c r="W202" s="73"/>
    </row>
    <row r="203" spans="1:23" ht="15.75" customHeight="1">
      <c r="A203" s="78" t="str">
        <f t="shared" si="56"/>
        <v>Bajra</v>
      </c>
      <c r="B203" s="78"/>
      <c r="C203" s="79">
        <v>25</v>
      </c>
      <c r="D203" s="80">
        <f t="shared" ref="D203:J203" si="63">C68*$C203*D$124</f>
        <v>0</v>
      </c>
      <c r="E203" s="80">
        <f t="shared" si="63"/>
        <v>0</v>
      </c>
      <c r="F203" s="80">
        <f t="shared" si="63"/>
        <v>0</v>
      </c>
      <c r="G203" s="80">
        <f t="shared" si="63"/>
        <v>0</v>
      </c>
      <c r="H203" s="80">
        <f t="shared" si="63"/>
        <v>0</v>
      </c>
      <c r="I203" s="80">
        <f t="shared" si="63"/>
        <v>0</v>
      </c>
      <c r="J203" s="80">
        <f t="shared" si="63"/>
        <v>0</v>
      </c>
      <c r="K203" s="73"/>
      <c r="L203" s="73"/>
      <c r="M203" s="73"/>
      <c r="N203" s="73"/>
      <c r="O203" s="73"/>
      <c r="P203" s="73"/>
      <c r="Q203" s="73"/>
      <c r="R203" s="73"/>
      <c r="S203" s="73"/>
      <c r="T203" s="73"/>
      <c r="U203" s="73"/>
      <c r="V203" s="73"/>
      <c r="W203" s="73"/>
    </row>
    <row r="204" spans="1:23" ht="15.75" customHeight="1">
      <c r="A204" s="78" t="str">
        <f t="shared" si="56"/>
        <v>Jawar</v>
      </c>
      <c r="B204" s="78"/>
      <c r="C204" s="79">
        <v>25</v>
      </c>
      <c r="D204" s="80">
        <f t="shared" ref="D204:J204" si="64">C69*$C204*D$124</f>
        <v>0</v>
      </c>
      <c r="E204" s="80">
        <f t="shared" si="64"/>
        <v>0</v>
      </c>
      <c r="F204" s="80">
        <f t="shared" si="64"/>
        <v>0</v>
      </c>
      <c r="G204" s="80">
        <f t="shared" si="64"/>
        <v>0</v>
      </c>
      <c r="H204" s="80">
        <f t="shared" si="64"/>
        <v>0</v>
      </c>
      <c r="I204" s="80">
        <f t="shared" si="64"/>
        <v>0</v>
      </c>
      <c r="J204" s="80">
        <f t="shared" si="64"/>
        <v>0</v>
      </c>
      <c r="K204" s="73"/>
      <c r="L204" s="73"/>
      <c r="M204" s="73"/>
      <c r="N204" s="73"/>
      <c r="O204" s="73"/>
      <c r="P204" s="73"/>
      <c r="Q204" s="73"/>
      <c r="R204" s="73"/>
      <c r="S204" s="73"/>
      <c r="T204" s="73"/>
      <c r="U204" s="73"/>
      <c r="V204" s="73"/>
      <c r="W204" s="73"/>
    </row>
    <row r="205" spans="1:23" ht="15.75" customHeight="1">
      <c r="A205" s="81" t="str">
        <f t="shared" si="56"/>
        <v>Rabi Crop</v>
      </c>
      <c r="B205" s="78"/>
      <c r="C205" s="79"/>
      <c r="D205" s="80">
        <f t="shared" ref="D205:J205" si="65">C70*$C205*D$124</f>
        <v>0</v>
      </c>
      <c r="E205" s="80">
        <f t="shared" si="65"/>
        <v>0</v>
      </c>
      <c r="F205" s="80">
        <f t="shared" si="65"/>
        <v>0</v>
      </c>
      <c r="G205" s="80">
        <f t="shared" si="65"/>
        <v>0</v>
      </c>
      <c r="H205" s="80">
        <f t="shared" si="65"/>
        <v>0</v>
      </c>
      <c r="I205" s="80">
        <f t="shared" si="65"/>
        <v>0</v>
      </c>
      <c r="J205" s="80">
        <f t="shared" si="65"/>
        <v>0</v>
      </c>
      <c r="K205" s="73"/>
      <c r="L205" s="73"/>
      <c r="M205" s="73"/>
      <c r="N205" s="73"/>
      <c r="O205" s="73"/>
      <c r="P205" s="73"/>
      <c r="Q205" s="73"/>
      <c r="R205" s="73"/>
      <c r="S205" s="73"/>
      <c r="T205" s="73"/>
      <c r="U205" s="73"/>
      <c r="V205" s="73"/>
      <c r="W205" s="73"/>
    </row>
    <row r="206" spans="1:23" ht="15.75" customHeight="1">
      <c r="A206" s="78" t="str">
        <f t="shared" si="56"/>
        <v>Wheat</v>
      </c>
      <c r="B206" s="78"/>
      <c r="C206" s="79">
        <v>35</v>
      </c>
      <c r="D206" s="80">
        <f t="shared" ref="D206:J206" si="66">C71*$C206*D$124</f>
        <v>0</v>
      </c>
      <c r="E206" s="80">
        <f t="shared" si="66"/>
        <v>0</v>
      </c>
      <c r="F206" s="80">
        <f t="shared" si="66"/>
        <v>0</v>
      </c>
      <c r="G206" s="80">
        <f t="shared" si="66"/>
        <v>0</v>
      </c>
      <c r="H206" s="80">
        <f t="shared" si="66"/>
        <v>0</v>
      </c>
      <c r="I206" s="80">
        <f t="shared" si="66"/>
        <v>0</v>
      </c>
      <c r="J206" s="80">
        <f t="shared" si="66"/>
        <v>0</v>
      </c>
      <c r="K206" s="73"/>
      <c r="L206" s="73"/>
      <c r="M206" s="73"/>
      <c r="N206" s="73"/>
      <c r="O206" s="73"/>
      <c r="P206" s="73"/>
      <c r="Q206" s="73"/>
      <c r="R206" s="73"/>
      <c r="S206" s="73"/>
      <c r="T206" s="73"/>
      <c r="U206" s="73"/>
      <c r="V206" s="73"/>
      <c r="W206" s="73"/>
    </row>
    <row r="207" spans="1:23" ht="15.75" customHeight="1">
      <c r="A207" s="78" t="str">
        <f t="shared" si="56"/>
        <v>Bengal Gram/Channa</v>
      </c>
      <c r="B207" s="78"/>
      <c r="C207" s="79">
        <v>70</v>
      </c>
      <c r="D207" s="80">
        <f t="shared" ref="D207:J207" si="67">C72*$C207*D$124</f>
        <v>0</v>
      </c>
      <c r="E207" s="80">
        <f t="shared" si="67"/>
        <v>0</v>
      </c>
      <c r="F207" s="80">
        <f t="shared" si="67"/>
        <v>0</v>
      </c>
      <c r="G207" s="80">
        <f t="shared" si="67"/>
        <v>0</v>
      </c>
      <c r="H207" s="80">
        <f t="shared" si="67"/>
        <v>0</v>
      </c>
      <c r="I207" s="80">
        <f t="shared" si="67"/>
        <v>0</v>
      </c>
      <c r="J207" s="80">
        <f t="shared" si="67"/>
        <v>0</v>
      </c>
      <c r="K207" s="73"/>
      <c r="L207" s="73"/>
      <c r="M207" s="73"/>
      <c r="N207" s="73"/>
      <c r="O207" s="73"/>
      <c r="P207" s="73"/>
      <c r="Q207" s="73"/>
      <c r="R207" s="73"/>
      <c r="S207" s="73"/>
      <c r="T207" s="73"/>
      <c r="U207" s="73"/>
      <c r="V207" s="73"/>
      <c r="W207" s="73"/>
    </row>
    <row r="208" spans="1:23" ht="15.75" customHeight="1">
      <c r="A208" s="78" t="str">
        <f t="shared" si="56"/>
        <v>Jawar</v>
      </c>
      <c r="B208" s="78"/>
      <c r="C208" s="79">
        <v>25</v>
      </c>
      <c r="D208" s="80">
        <f t="shared" ref="D208:J208" si="68">C73*$C208*D$124</f>
        <v>0</v>
      </c>
      <c r="E208" s="80">
        <f t="shared" si="68"/>
        <v>0</v>
      </c>
      <c r="F208" s="80">
        <f t="shared" si="68"/>
        <v>0</v>
      </c>
      <c r="G208" s="80">
        <f t="shared" si="68"/>
        <v>0</v>
      </c>
      <c r="H208" s="80">
        <f t="shared" si="68"/>
        <v>0</v>
      </c>
      <c r="I208" s="80">
        <f t="shared" si="68"/>
        <v>0</v>
      </c>
      <c r="J208" s="80">
        <f t="shared" si="68"/>
        <v>0</v>
      </c>
      <c r="K208" s="73"/>
      <c r="L208" s="73"/>
      <c r="M208" s="73"/>
      <c r="N208" s="73"/>
      <c r="O208" s="73"/>
      <c r="P208" s="73"/>
      <c r="Q208" s="73"/>
      <c r="R208" s="73"/>
      <c r="S208" s="73"/>
      <c r="T208" s="73"/>
      <c r="U208" s="73"/>
      <c r="V208" s="73"/>
      <c r="W208" s="73"/>
    </row>
    <row r="209" spans="1:23" ht="15.75" customHeight="1">
      <c r="A209" s="78" t="str">
        <f t="shared" si="56"/>
        <v>Maize</v>
      </c>
      <c r="B209" s="78"/>
      <c r="C209" s="79">
        <v>25</v>
      </c>
      <c r="D209" s="80">
        <f t="shared" ref="D209:J209" si="69">C74*$C209*D$124</f>
        <v>0</v>
      </c>
      <c r="E209" s="80">
        <f t="shared" si="69"/>
        <v>0</v>
      </c>
      <c r="F209" s="80">
        <f t="shared" si="69"/>
        <v>0</v>
      </c>
      <c r="G209" s="80">
        <f t="shared" si="69"/>
        <v>0</v>
      </c>
      <c r="H209" s="80">
        <f t="shared" si="69"/>
        <v>0</v>
      </c>
      <c r="I209" s="80">
        <f t="shared" si="69"/>
        <v>0</v>
      </c>
      <c r="J209" s="80">
        <f t="shared" si="69"/>
        <v>0</v>
      </c>
      <c r="K209" s="73"/>
      <c r="L209" s="73"/>
      <c r="M209" s="73"/>
      <c r="N209" s="73"/>
      <c r="O209" s="73"/>
      <c r="P209" s="73"/>
      <c r="Q209" s="73"/>
      <c r="R209" s="73"/>
      <c r="S209" s="73"/>
      <c r="T209" s="73"/>
      <c r="U209" s="73"/>
      <c r="V209" s="73"/>
      <c r="W209" s="73"/>
    </row>
    <row r="210" spans="1:23" ht="15.75" customHeight="1">
      <c r="A210" s="78" t="str">
        <f t="shared" si="56"/>
        <v>Safflower</v>
      </c>
      <c r="B210" s="78"/>
      <c r="C210" s="79">
        <v>25</v>
      </c>
      <c r="D210" s="80">
        <f t="shared" ref="D210:J210" si="70">C75*$C210*D$124</f>
        <v>0</v>
      </c>
      <c r="E210" s="80">
        <f t="shared" si="70"/>
        <v>0</v>
      </c>
      <c r="F210" s="80">
        <f t="shared" si="70"/>
        <v>0</v>
      </c>
      <c r="G210" s="80">
        <f t="shared" si="70"/>
        <v>0</v>
      </c>
      <c r="H210" s="80">
        <f t="shared" si="70"/>
        <v>0</v>
      </c>
      <c r="I210" s="80">
        <f t="shared" si="70"/>
        <v>0</v>
      </c>
      <c r="J210" s="80">
        <f t="shared" si="70"/>
        <v>0</v>
      </c>
      <c r="K210" s="73"/>
      <c r="L210" s="73"/>
      <c r="M210" s="73"/>
      <c r="N210" s="73"/>
      <c r="O210" s="73"/>
      <c r="P210" s="73"/>
      <c r="Q210" s="73"/>
      <c r="R210" s="73"/>
      <c r="S210" s="73"/>
      <c r="T210" s="73"/>
      <c r="U210" s="73"/>
      <c r="V210" s="73"/>
      <c r="W210" s="73"/>
    </row>
    <row r="211" spans="1:23" ht="15.75" customHeight="1">
      <c r="A211" s="78">
        <f t="shared" si="56"/>
        <v>0</v>
      </c>
      <c r="B211" s="78"/>
      <c r="C211" s="79"/>
      <c r="D211" s="80">
        <f t="shared" ref="D211:J211" si="71">C76*$C211*D$124</f>
        <v>0</v>
      </c>
      <c r="E211" s="80">
        <f t="shared" si="71"/>
        <v>0</v>
      </c>
      <c r="F211" s="80">
        <f t="shared" si="71"/>
        <v>0</v>
      </c>
      <c r="G211" s="80">
        <f t="shared" si="71"/>
        <v>0</v>
      </c>
      <c r="H211" s="80">
        <f t="shared" si="71"/>
        <v>0</v>
      </c>
      <c r="I211" s="80">
        <f t="shared" si="71"/>
        <v>0</v>
      </c>
      <c r="J211" s="80">
        <f t="shared" si="71"/>
        <v>0</v>
      </c>
      <c r="K211" s="73"/>
      <c r="L211" s="73"/>
      <c r="M211" s="73"/>
      <c r="N211" s="73"/>
      <c r="O211" s="73"/>
      <c r="P211" s="73"/>
      <c r="Q211" s="73"/>
      <c r="R211" s="73"/>
      <c r="S211" s="73"/>
      <c r="T211" s="73"/>
      <c r="U211" s="73"/>
      <c r="V211" s="73"/>
      <c r="W211" s="73"/>
    </row>
    <row r="212" spans="1:23" ht="15.75" customHeight="1">
      <c r="A212" s="78">
        <f t="shared" si="56"/>
        <v>0</v>
      </c>
      <c r="B212" s="78"/>
      <c r="C212" s="79"/>
      <c r="D212" s="80">
        <f t="shared" ref="D212:J212" si="72">C77*$C212*D$124</f>
        <v>0</v>
      </c>
      <c r="E212" s="80">
        <f t="shared" si="72"/>
        <v>0</v>
      </c>
      <c r="F212" s="80">
        <f t="shared" si="72"/>
        <v>0</v>
      </c>
      <c r="G212" s="80">
        <f t="shared" si="72"/>
        <v>0</v>
      </c>
      <c r="H212" s="80">
        <f t="shared" si="72"/>
        <v>0</v>
      </c>
      <c r="I212" s="80">
        <f t="shared" si="72"/>
        <v>0</v>
      </c>
      <c r="J212" s="80">
        <f t="shared" si="72"/>
        <v>0</v>
      </c>
      <c r="K212" s="73"/>
      <c r="L212" s="73"/>
      <c r="M212" s="73"/>
      <c r="N212" s="73"/>
      <c r="O212" s="73"/>
      <c r="P212" s="73"/>
      <c r="Q212" s="73"/>
      <c r="R212" s="73"/>
      <c r="S212" s="73"/>
      <c r="T212" s="73"/>
      <c r="U212" s="73"/>
      <c r="V212" s="73"/>
      <c r="W212" s="73"/>
    </row>
    <row r="213" spans="1:23" ht="15.75" customHeight="1">
      <c r="A213" s="78">
        <f t="shared" si="56"/>
        <v>0</v>
      </c>
      <c r="B213" s="78"/>
      <c r="C213" s="79"/>
      <c r="D213" s="80">
        <f t="shared" ref="D213:J213" si="73">C78*$C213*D$124</f>
        <v>0</v>
      </c>
      <c r="E213" s="80">
        <f t="shared" si="73"/>
        <v>0</v>
      </c>
      <c r="F213" s="80">
        <f t="shared" si="73"/>
        <v>0</v>
      </c>
      <c r="G213" s="80">
        <f t="shared" si="73"/>
        <v>0</v>
      </c>
      <c r="H213" s="80">
        <f t="shared" si="73"/>
        <v>0</v>
      </c>
      <c r="I213" s="80">
        <f t="shared" si="73"/>
        <v>0</v>
      </c>
      <c r="J213" s="80">
        <f t="shared" si="73"/>
        <v>0</v>
      </c>
      <c r="K213" s="73"/>
      <c r="L213" s="73"/>
      <c r="M213" s="73"/>
      <c r="N213" s="73"/>
      <c r="O213" s="73"/>
      <c r="P213" s="73"/>
      <c r="Q213" s="73"/>
      <c r="R213" s="73"/>
      <c r="S213" s="73"/>
      <c r="T213" s="73"/>
      <c r="U213" s="73"/>
      <c r="V213" s="73"/>
      <c r="W213" s="73"/>
    </row>
    <row r="214" spans="1:23" ht="15.75" customHeight="1">
      <c r="A214" s="78" t="str">
        <f t="shared" si="56"/>
        <v>Summer</v>
      </c>
      <c r="B214" s="78"/>
      <c r="C214" s="79"/>
      <c r="D214" s="80">
        <f t="shared" ref="D214:J214" si="74">C79*$C214*D$124</f>
        <v>0</v>
      </c>
      <c r="E214" s="80">
        <f t="shared" si="74"/>
        <v>0</v>
      </c>
      <c r="F214" s="80">
        <f t="shared" si="74"/>
        <v>0</v>
      </c>
      <c r="G214" s="80">
        <f t="shared" si="74"/>
        <v>0</v>
      </c>
      <c r="H214" s="80">
        <f t="shared" si="74"/>
        <v>0</v>
      </c>
      <c r="I214" s="80">
        <f t="shared" si="74"/>
        <v>0</v>
      </c>
      <c r="J214" s="80">
        <f t="shared" si="74"/>
        <v>0</v>
      </c>
      <c r="K214" s="73"/>
      <c r="L214" s="73"/>
      <c r="M214" s="73"/>
      <c r="N214" s="73"/>
      <c r="O214" s="73"/>
      <c r="P214" s="73"/>
      <c r="Q214" s="73"/>
      <c r="R214" s="73"/>
      <c r="S214" s="73"/>
      <c r="T214" s="73"/>
      <c r="U214" s="73"/>
      <c r="V214" s="73"/>
      <c r="W214" s="73"/>
    </row>
    <row r="215" spans="1:23" ht="15.75" customHeight="1">
      <c r="A215" s="78" t="str">
        <f t="shared" si="56"/>
        <v>Groundnut</v>
      </c>
      <c r="B215" s="78"/>
      <c r="C215" s="79"/>
      <c r="D215" s="80">
        <f t="shared" ref="D215:J215" si="75">C80*$C215*D$124</f>
        <v>0</v>
      </c>
      <c r="E215" s="80">
        <f t="shared" si="75"/>
        <v>0</v>
      </c>
      <c r="F215" s="80">
        <f t="shared" si="75"/>
        <v>0</v>
      </c>
      <c r="G215" s="80">
        <f t="shared" si="75"/>
        <v>0</v>
      </c>
      <c r="H215" s="80">
        <f t="shared" si="75"/>
        <v>0</v>
      </c>
      <c r="I215" s="80">
        <f t="shared" si="75"/>
        <v>0</v>
      </c>
      <c r="J215" s="80">
        <f t="shared" si="75"/>
        <v>0</v>
      </c>
      <c r="K215" s="73"/>
      <c r="L215" s="73"/>
      <c r="M215" s="73"/>
      <c r="N215" s="73"/>
      <c r="O215" s="73"/>
      <c r="P215" s="73"/>
      <c r="Q215" s="73"/>
      <c r="R215" s="73"/>
      <c r="S215" s="73"/>
      <c r="T215" s="73"/>
      <c r="U215" s="73"/>
      <c r="V215" s="73"/>
      <c r="W215" s="73"/>
    </row>
    <row r="216" spans="1:23" ht="15.75" customHeight="1">
      <c r="A216" s="78">
        <f t="shared" si="56"/>
        <v>0</v>
      </c>
      <c r="B216" s="78"/>
      <c r="C216" s="79"/>
      <c r="D216" s="80">
        <f t="shared" ref="D216:J216" si="76">C81*$C216*D$124</f>
        <v>0</v>
      </c>
      <c r="E216" s="80">
        <f t="shared" si="76"/>
        <v>0</v>
      </c>
      <c r="F216" s="80">
        <f t="shared" si="76"/>
        <v>0</v>
      </c>
      <c r="G216" s="80">
        <f t="shared" si="76"/>
        <v>0</v>
      </c>
      <c r="H216" s="80">
        <f t="shared" si="76"/>
        <v>0</v>
      </c>
      <c r="I216" s="80">
        <f t="shared" si="76"/>
        <v>0</v>
      </c>
      <c r="J216" s="80">
        <f t="shared" si="76"/>
        <v>0</v>
      </c>
      <c r="K216" s="73"/>
      <c r="L216" s="73"/>
      <c r="M216" s="73"/>
      <c r="N216" s="73"/>
      <c r="O216" s="73"/>
      <c r="P216" s="73"/>
      <c r="Q216" s="73"/>
      <c r="R216" s="73"/>
      <c r="S216" s="73"/>
      <c r="T216" s="73"/>
      <c r="U216" s="73"/>
      <c r="V216" s="73"/>
      <c r="W216" s="73"/>
    </row>
    <row r="217" spans="1:23" ht="15.75" customHeight="1">
      <c r="A217" s="78">
        <f t="shared" si="56"/>
        <v>0</v>
      </c>
      <c r="B217" s="78"/>
      <c r="C217" s="79"/>
      <c r="D217" s="80">
        <f t="shared" ref="D217:J217" si="77">C82*$C217*D$124</f>
        <v>0</v>
      </c>
      <c r="E217" s="80">
        <f t="shared" si="77"/>
        <v>0</v>
      </c>
      <c r="F217" s="80">
        <f t="shared" si="77"/>
        <v>0</v>
      </c>
      <c r="G217" s="80">
        <f t="shared" si="77"/>
        <v>0</v>
      </c>
      <c r="H217" s="80">
        <f t="shared" si="77"/>
        <v>0</v>
      </c>
      <c r="I217" s="80">
        <f t="shared" si="77"/>
        <v>0</v>
      </c>
      <c r="J217" s="80">
        <f t="shared" si="77"/>
        <v>0</v>
      </c>
      <c r="K217" s="73"/>
      <c r="L217" s="73"/>
      <c r="M217" s="73"/>
      <c r="N217" s="73"/>
      <c r="O217" s="73"/>
      <c r="P217" s="73"/>
      <c r="Q217" s="73"/>
      <c r="R217" s="73"/>
      <c r="S217" s="73"/>
      <c r="T217" s="73"/>
      <c r="U217" s="73"/>
      <c r="V217" s="73"/>
      <c r="W217" s="73"/>
    </row>
    <row r="218" spans="1:23" ht="15.75" customHeight="1">
      <c r="A218" s="78">
        <f t="shared" si="56"/>
        <v>0</v>
      </c>
      <c r="B218" s="78"/>
      <c r="C218" s="79"/>
      <c r="D218" s="80">
        <f t="shared" ref="D218:J218" si="78">C83*$C218*D$124</f>
        <v>0</v>
      </c>
      <c r="E218" s="80">
        <f t="shared" si="78"/>
        <v>0</v>
      </c>
      <c r="F218" s="80">
        <f t="shared" si="78"/>
        <v>0</v>
      </c>
      <c r="G218" s="80">
        <f t="shared" si="78"/>
        <v>0</v>
      </c>
      <c r="H218" s="80">
        <f t="shared" si="78"/>
        <v>0</v>
      </c>
      <c r="I218" s="80">
        <f t="shared" si="78"/>
        <v>0</v>
      </c>
      <c r="J218" s="80">
        <f t="shared" si="78"/>
        <v>0</v>
      </c>
      <c r="K218" s="73"/>
      <c r="L218" s="73"/>
      <c r="M218" s="73"/>
      <c r="N218" s="73"/>
      <c r="O218" s="73"/>
      <c r="P218" s="73"/>
      <c r="Q218" s="73"/>
      <c r="R218" s="73"/>
      <c r="S218" s="73"/>
      <c r="T218" s="73"/>
      <c r="U218" s="73"/>
      <c r="V218" s="73"/>
      <c r="W218" s="73"/>
    </row>
    <row r="219" spans="1:23" ht="15.75" customHeight="1">
      <c r="A219" s="78">
        <f t="shared" si="56"/>
        <v>0</v>
      </c>
      <c r="B219" s="78"/>
      <c r="C219" s="79"/>
      <c r="D219" s="80">
        <f t="shared" ref="D219:J219" si="79">C84*$C219*D$124</f>
        <v>0</v>
      </c>
      <c r="E219" s="80">
        <f t="shared" si="79"/>
        <v>0</v>
      </c>
      <c r="F219" s="80">
        <f t="shared" si="79"/>
        <v>0</v>
      </c>
      <c r="G219" s="80">
        <f t="shared" si="79"/>
        <v>0</v>
      </c>
      <c r="H219" s="80">
        <f t="shared" si="79"/>
        <v>0</v>
      </c>
      <c r="I219" s="80">
        <f t="shared" si="79"/>
        <v>0</v>
      </c>
      <c r="J219" s="80">
        <f t="shared" si="79"/>
        <v>0</v>
      </c>
      <c r="K219" s="73"/>
      <c r="L219" s="73"/>
      <c r="M219" s="73"/>
      <c r="N219" s="73"/>
      <c r="O219" s="73"/>
      <c r="P219" s="73"/>
      <c r="Q219" s="73"/>
      <c r="R219" s="73"/>
      <c r="S219" s="73"/>
      <c r="T219" s="73"/>
      <c r="U219" s="73"/>
      <c r="V219" s="73"/>
      <c r="W219" s="73"/>
    </row>
    <row r="220" spans="1:23" ht="15.75" customHeight="1">
      <c r="A220" s="78" t="str">
        <f t="shared" si="56"/>
        <v>Fruit  &amp; Vegetables Crop Production Details</v>
      </c>
      <c r="B220" s="78"/>
      <c r="C220" s="80"/>
      <c r="D220" s="80"/>
      <c r="E220" s="80"/>
      <c r="F220" s="80"/>
      <c r="G220" s="80"/>
      <c r="H220" s="80"/>
      <c r="I220" s="80"/>
      <c r="J220" s="80"/>
      <c r="K220" s="73"/>
      <c r="L220" s="73"/>
      <c r="M220" s="73"/>
      <c r="N220" s="73"/>
      <c r="O220" s="73"/>
      <c r="P220" s="73"/>
      <c r="Q220" s="73"/>
      <c r="R220" s="73"/>
      <c r="S220" s="73"/>
      <c r="T220" s="73"/>
      <c r="U220" s="73"/>
      <c r="V220" s="73"/>
      <c r="W220" s="73"/>
    </row>
    <row r="221" spans="1:23" ht="15.75" customHeight="1">
      <c r="A221" s="78" t="str">
        <f t="shared" si="56"/>
        <v>Onion</v>
      </c>
      <c r="B221" s="78"/>
      <c r="C221" s="79"/>
      <c r="D221" s="80">
        <f t="shared" ref="D221:J221" si="80">C86*$C221*D$124</f>
        <v>0</v>
      </c>
      <c r="E221" s="80">
        <f t="shared" si="80"/>
        <v>0</v>
      </c>
      <c r="F221" s="80">
        <f t="shared" si="80"/>
        <v>0</v>
      </c>
      <c r="G221" s="80">
        <f t="shared" si="80"/>
        <v>0</v>
      </c>
      <c r="H221" s="80">
        <f t="shared" si="80"/>
        <v>0</v>
      </c>
      <c r="I221" s="80">
        <f t="shared" si="80"/>
        <v>0</v>
      </c>
      <c r="J221" s="80">
        <f t="shared" si="80"/>
        <v>0</v>
      </c>
      <c r="K221" s="73"/>
      <c r="L221" s="73"/>
      <c r="M221" s="73"/>
      <c r="N221" s="73"/>
      <c r="O221" s="73"/>
      <c r="P221" s="73"/>
      <c r="Q221" s="73"/>
      <c r="R221" s="73"/>
      <c r="S221" s="73"/>
      <c r="T221" s="73"/>
      <c r="U221" s="73"/>
      <c r="V221" s="73"/>
      <c r="W221" s="73"/>
    </row>
    <row r="222" spans="1:23" ht="15.75" customHeight="1">
      <c r="A222" s="78" t="str">
        <f t="shared" si="56"/>
        <v>Tomato</v>
      </c>
      <c r="B222" s="78"/>
      <c r="C222" s="79"/>
      <c r="D222" s="80">
        <f t="shared" ref="D222:J222" si="81">C87*$C222*D$124</f>
        <v>0</v>
      </c>
      <c r="E222" s="80">
        <f t="shared" si="81"/>
        <v>0</v>
      </c>
      <c r="F222" s="80">
        <f t="shared" si="81"/>
        <v>0</v>
      </c>
      <c r="G222" s="80">
        <f t="shared" si="81"/>
        <v>0</v>
      </c>
      <c r="H222" s="80">
        <f t="shared" si="81"/>
        <v>0</v>
      </c>
      <c r="I222" s="80">
        <f t="shared" si="81"/>
        <v>0</v>
      </c>
      <c r="J222" s="80">
        <f t="shared" si="81"/>
        <v>0</v>
      </c>
      <c r="K222" s="73"/>
      <c r="L222" s="73"/>
      <c r="M222" s="73"/>
      <c r="N222" s="73"/>
      <c r="O222" s="73"/>
      <c r="P222" s="73"/>
      <c r="Q222" s="73"/>
      <c r="R222" s="73"/>
      <c r="S222" s="73"/>
      <c r="T222" s="73"/>
      <c r="U222" s="73"/>
      <c r="V222" s="73"/>
      <c r="W222" s="73"/>
    </row>
    <row r="223" spans="1:23" ht="15.75" customHeight="1">
      <c r="A223" s="78" t="str">
        <f t="shared" si="56"/>
        <v>Okra</v>
      </c>
      <c r="B223" s="78"/>
      <c r="C223" s="79"/>
      <c r="D223" s="80">
        <f t="shared" ref="D223:J223" si="82">C88*$C223*D$124</f>
        <v>0</v>
      </c>
      <c r="E223" s="80">
        <f t="shared" si="82"/>
        <v>0</v>
      </c>
      <c r="F223" s="80">
        <f t="shared" si="82"/>
        <v>0</v>
      </c>
      <c r="G223" s="80">
        <f t="shared" si="82"/>
        <v>0</v>
      </c>
      <c r="H223" s="80">
        <f t="shared" si="82"/>
        <v>0</v>
      </c>
      <c r="I223" s="80">
        <f t="shared" si="82"/>
        <v>0</v>
      </c>
      <c r="J223" s="80">
        <f t="shared" si="82"/>
        <v>0</v>
      </c>
      <c r="K223" s="73"/>
      <c r="L223" s="73"/>
      <c r="M223" s="73"/>
      <c r="N223" s="73"/>
      <c r="O223" s="73"/>
      <c r="P223" s="73"/>
      <c r="Q223" s="73"/>
      <c r="R223" s="73"/>
      <c r="S223" s="73"/>
      <c r="T223" s="73"/>
      <c r="U223" s="73"/>
      <c r="V223" s="73"/>
      <c r="W223" s="73"/>
    </row>
    <row r="224" spans="1:23" ht="15.75" customHeight="1">
      <c r="A224" s="78" t="str">
        <f t="shared" si="56"/>
        <v>Chilli</v>
      </c>
      <c r="B224" s="78"/>
      <c r="C224" s="79"/>
      <c r="D224" s="80">
        <f t="shared" ref="D224:J224" si="83">C89*$C224*D$124</f>
        <v>0</v>
      </c>
      <c r="E224" s="80">
        <f t="shared" si="83"/>
        <v>0</v>
      </c>
      <c r="F224" s="80">
        <f t="shared" si="83"/>
        <v>0</v>
      </c>
      <c r="G224" s="80">
        <f t="shared" si="83"/>
        <v>0</v>
      </c>
      <c r="H224" s="80">
        <f t="shared" si="83"/>
        <v>0</v>
      </c>
      <c r="I224" s="80">
        <f t="shared" si="83"/>
        <v>0</v>
      </c>
      <c r="J224" s="80">
        <f t="shared" si="83"/>
        <v>0</v>
      </c>
      <c r="K224" s="73"/>
      <c r="L224" s="73"/>
      <c r="M224" s="73"/>
      <c r="N224" s="73"/>
      <c r="O224" s="73"/>
      <c r="P224" s="73"/>
      <c r="Q224" s="73"/>
      <c r="R224" s="73"/>
      <c r="S224" s="73"/>
      <c r="T224" s="73"/>
      <c r="U224" s="73"/>
      <c r="V224" s="73"/>
      <c r="W224" s="73"/>
    </row>
    <row r="225" spans="1:23" ht="15.75" customHeight="1">
      <c r="A225" s="78" t="str">
        <f t="shared" si="56"/>
        <v>Potato</v>
      </c>
      <c r="B225" s="78"/>
      <c r="C225" s="79"/>
      <c r="D225" s="80">
        <f t="shared" ref="D225:J225" si="84">C90*$C225*D$124</f>
        <v>0</v>
      </c>
      <c r="E225" s="80">
        <f t="shared" si="84"/>
        <v>0</v>
      </c>
      <c r="F225" s="80">
        <f t="shared" si="84"/>
        <v>0</v>
      </c>
      <c r="G225" s="80">
        <f t="shared" si="84"/>
        <v>0</v>
      </c>
      <c r="H225" s="80">
        <f t="shared" si="84"/>
        <v>0</v>
      </c>
      <c r="I225" s="80">
        <f t="shared" si="84"/>
        <v>0</v>
      </c>
      <c r="J225" s="80">
        <f t="shared" si="84"/>
        <v>0</v>
      </c>
      <c r="K225" s="73"/>
      <c r="L225" s="73"/>
      <c r="M225" s="73"/>
      <c r="N225" s="73"/>
      <c r="O225" s="73"/>
      <c r="P225" s="73"/>
      <c r="Q225" s="73"/>
      <c r="R225" s="73"/>
      <c r="S225" s="73"/>
      <c r="T225" s="73"/>
      <c r="U225" s="73"/>
      <c r="V225" s="73"/>
      <c r="W225" s="73"/>
    </row>
    <row r="226" spans="1:23" ht="15.75" customHeight="1">
      <c r="A226" s="78">
        <f t="shared" si="56"/>
        <v>0</v>
      </c>
      <c r="B226" s="78"/>
      <c r="C226" s="79"/>
      <c r="D226" s="80">
        <f t="shared" ref="D226:J226" si="85">C91*$C226*D$124</f>
        <v>0</v>
      </c>
      <c r="E226" s="80">
        <f t="shared" si="85"/>
        <v>0</v>
      </c>
      <c r="F226" s="80">
        <f t="shared" si="85"/>
        <v>0</v>
      </c>
      <c r="G226" s="80">
        <f t="shared" si="85"/>
        <v>0</v>
      </c>
      <c r="H226" s="80">
        <f t="shared" si="85"/>
        <v>0</v>
      </c>
      <c r="I226" s="80">
        <f t="shared" si="85"/>
        <v>0</v>
      </c>
      <c r="J226" s="80">
        <f t="shared" si="85"/>
        <v>0</v>
      </c>
      <c r="K226" s="73"/>
      <c r="L226" s="73"/>
      <c r="M226" s="73"/>
      <c r="N226" s="73"/>
      <c r="O226" s="73"/>
      <c r="P226" s="73"/>
      <c r="Q226" s="73"/>
      <c r="R226" s="73"/>
      <c r="S226" s="73"/>
      <c r="T226" s="73"/>
      <c r="U226" s="73"/>
      <c r="V226" s="73"/>
      <c r="W226" s="73"/>
    </row>
    <row r="227" spans="1:23" ht="15.75" customHeight="1">
      <c r="A227" s="78">
        <f t="shared" si="56"/>
        <v>0</v>
      </c>
      <c r="B227" s="78"/>
      <c r="C227" s="79"/>
      <c r="D227" s="80">
        <f t="shared" ref="D227:J227" si="86">C92*$C227*D$124</f>
        <v>0</v>
      </c>
      <c r="E227" s="80">
        <f t="shared" si="86"/>
        <v>0</v>
      </c>
      <c r="F227" s="80">
        <f t="shared" si="86"/>
        <v>0</v>
      </c>
      <c r="G227" s="80">
        <f t="shared" si="86"/>
        <v>0</v>
      </c>
      <c r="H227" s="80">
        <f t="shared" si="86"/>
        <v>0</v>
      </c>
      <c r="I227" s="80">
        <f t="shared" si="86"/>
        <v>0</v>
      </c>
      <c r="J227" s="80">
        <f t="shared" si="86"/>
        <v>0</v>
      </c>
      <c r="K227" s="73"/>
      <c r="L227" s="73"/>
      <c r="M227" s="73"/>
      <c r="N227" s="73"/>
      <c r="O227" s="73"/>
      <c r="P227" s="73"/>
      <c r="Q227" s="73"/>
      <c r="R227" s="73"/>
      <c r="S227" s="73"/>
      <c r="T227" s="73"/>
      <c r="U227" s="73"/>
      <c r="V227" s="73"/>
      <c r="W227" s="73"/>
    </row>
    <row r="228" spans="1:23" ht="15.75" customHeight="1">
      <c r="A228" s="78">
        <f t="shared" si="56"/>
        <v>0</v>
      </c>
      <c r="B228" s="78"/>
      <c r="C228" s="79"/>
      <c r="D228" s="80">
        <f t="shared" ref="D228:J228" si="87">C93*$C228*D$124</f>
        <v>0</v>
      </c>
      <c r="E228" s="80">
        <f t="shared" si="87"/>
        <v>0</v>
      </c>
      <c r="F228" s="80">
        <f t="shared" si="87"/>
        <v>0</v>
      </c>
      <c r="G228" s="80">
        <f t="shared" si="87"/>
        <v>0</v>
      </c>
      <c r="H228" s="80">
        <f t="shared" si="87"/>
        <v>0</v>
      </c>
      <c r="I228" s="80">
        <f t="shared" si="87"/>
        <v>0</v>
      </c>
      <c r="J228" s="80">
        <f t="shared" si="87"/>
        <v>0</v>
      </c>
      <c r="K228" s="73"/>
      <c r="L228" s="73"/>
      <c r="M228" s="73"/>
      <c r="N228" s="73"/>
      <c r="O228" s="73"/>
      <c r="P228" s="73"/>
      <c r="Q228" s="73"/>
      <c r="R228" s="73"/>
      <c r="S228" s="73"/>
      <c r="T228" s="73"/>
      <c r="U228" s="73"/>
      <c r="V228" s="73"/>
      <c r="W228" s="73"/>
    </row>
    <row r="229" spans="1:23" ht="15.75" customHeight="1">
      <c r="A229" s="78">
        <f t="shared" si="56"/>
        <v>0</v>
      </c>
      <c r="B229" s="78"/>
      <c r="C229" s="79"/>
      <c r="D229" s="80">
        <f t="shared" ref="D229:J229" si="88">C94*$C229*D$124</f>
        <v>0</v>
      </c>
      <c r="E229" s="80">
        <f t="shared" si="88"/>
        <v>0</v>
      </c>
      <c r="F229" s="80">
        <f t="shared" si="88"/>
        <v>0</v>
      </c>
      <c r="G229" s="80">
        <f t="shared" si="88"/>
        <v>0</v>
      </c>
      <c r="H229" s="80">
        <f t="shared" si="88"/>
        <v>0</v>
      </c>
      <c r="I229" s="80">
        <f t="shared" si="88"/>
        <v>0</v>
      </c>
      <c r="J229" s="80">
        <f t="shared" si="88"/>
        <v>0</v>
      </c>
      <c r="K229" s="73"/>
      <c r="L229" s="73"/>
      <c r="M229" s="73"/>
      <c r="N229" s="73"/>
      <c r="O229" s="73"/>
      <c r="P229" s="73"/>
      <c r="Q229" s="73"/>
      <c r="R229" s="73"/>
      <c r="S229" s="73"/>
      <c r="T229" s="73"/>
      <c r="U229" s="73"/>
      <c r="V229" s="73"/>
      <c r="W229" s="73"/>
    </row>
    <row r="230" spans="1:23" ht="15.75" customHeight="1">
      <c r="A230" s="78" t="str">
        <f t="shared" si="56"/>
        <v>Onion</v>
      </c>
      <c r="B230" s="78"/>
      <c r="C230" s="79"/>
      <c r="D230" s="80">
        <f t="shared" ref="D230:J230" si="89">C95*$C230*D$124</f>
        <v>0</v>
      </c>
      <c r="E230" s="80">
        <f t="shared" si="89"/>
        <v>0</v>
      </c>
      <c r="F230" s="80">
        <f t="shared" si="89"/>
        <v>0</v>
      </c>
      <c r="G230" s="80">
        <f t="shared" si="89"/>
        <v>0</v>
      </c>
      <c r="H230" s="80">
        <f t="shared" si="89"/>
        <v>0</v>
      </c>
      <c r="I230" s="80">
        <f t="shared" si="89"/>
        <v>0</v>
      </c>
      <c r="J230" s="80">
        <f t="shared" si="89"/>
        <v>0</v>
      </c>
      <c r="K230" s="73"/>
      <c r="L230" s="73"/>
      <c r="M230" s="73"/>
      <c r="N230" s="73"/>
      <c r="O230" s="73"/>
      <c r="P230" s="73"/>
      <c r="Q230" s="73"/>
      <c r="R230" s="73"/>
      <c r="S230" s="73"/>
      <c r="T230" s="73"/>
      <c r="U230" s="73"/>
      <c r="V230" s="73"/>
      <c r="W230" s="73"/>
    </row>
    <row r="231" spans="1:23" ht="15.75" customHeight="1">
      <c r="A231" s="78" t="str">
        <f t="shared" si="56"/>
        <v>Tomato</v>
      </c>
      <c r="B231" s="78"/>
      <c r="C231" s="79"/>
      <c r="D231" s="80">
        <f t="shared" ref="D231:J231" si="90">C96*$C231*D$124</f>
        <v>0</v>
      </c>
      <c r="E231" s="80">
        <f t="shared" si="90"/>
        <v>0</v>
      </c>
      <c r="F231" s="80">
        <f t="shared" si="90"/>
        <v>0</v>
      </c>
      <c r="G231" s="80">
        <f t="shared" si="90"/>
        <v>0</v>
      </c>
      <c r="H231" s="80">
        <f t="shared" si="90"/>
        <v>0</v>
      </c>
      <c r="I231" s="80">
        <f t="shared" si="90"/>
        <v>0</v>
      </c>
      <c r="J231" s="80">
        <f t="shared" si="90"/>
        <v>0</v>
      </c>
      <c r="K231" s="73"/>
      <c r="L231" s="73"/>
      <c r="M231" s="73"/>
      <c r="N231" s="73"/>
      <c r="O231" s="73"/>
      <c r="P231" s="73"/>
      <c r="Q231" s="73"/>
      <c r="R231" s="73"/>
      <c r="S231" s="73"/>
      <c r="T231" s="73"/>
      <c r="U231" s="73"/>
      <c r="V231" s="73"/>
      <c r="W231" s="73"/>
    </row>
    <row r="232" spans="1:23" ht="15.75" customHeight="1">
      <c r="A232" s="78" t="str">
        <f t="shared" si="56"/>
        <v>Okra</v>
      </c>
      <c r="B232" s="78"/>
      <c r="C232" s="79"/>
      <c r="D232" s="80">
        <f t="shared" ref="D232:J232" si="91">C97*$C232*D$124</f>
        <v>0</v>
      </c>
      <c r="E232" s="80">
        <f t="shared" si="91"/>
        <v>0</v>
      </c>
      <c r="F232" s="80">
        <f t="shared" si="91"/>
        <v>0</v>
      </c>
      <c r="G232" s="80">
        <f t="shared" si="91"/>
        <v>0</v>
      </c>
      <c r="H232" s="80">
        <f t="shared" si="91"/>
        <v>0</v>
      </c>
      <c r="I232" s="80">
        <f t="shared" si="91"/>
        <v>0</v>
      </c>
      <c r="J232" s="80">
        <f t="shared" si="91"/>
        <v>0</v>
      </c>
      <c r="K232" s="73"/>
      <c r="L232" s="73"/>
      <c r="M232" s="73"/>
      <c r="N232" s="73"/>
      <c r="O232" s="73"/>
      <c r="P232" s="73"/>
      <c r="Q232" s="73"/>
      <c r="R232" s="73"/>
      <c r="S232" s="73"/>
      <c r="T232" s="73"/>
      <c r="U232" s="73"/>
      <c r="V232" s="73"/>
      <c r="W232" s="73"/>
    </row>
    <row r="233" spans="1:23" ht="15.75" customHeight="1">
      <c r="A233" s="78" t="str">
        <f t="shared" si="56"/>
        <v>Chilli</v>
      </c>
      <c r="B233" s="78"/>
      <c r="C233" s="79"/>
      <c r="D233" s="80">
        <f t="shared" ref="D233:J233" si="92">C98*$C233*D$124</f>
        <v>0</v>
      </c>
      <c r="E233" s="80">
        <f t="shared" si="92"/>
        <v>0</v>
      </c>
      <c r="F233" s="80">
        <f t="shared" si="92"/>
        <v>0</v>
      </c>
      <c r="G233" s="80">
        <f t="shared" si="92"/>
        <v>0</v>
      </c>
      <c r="H233" s="80">
        <f t="shared" si="92"/>
        <v>0</v>
      </c>
      <c r="I233" s="80">
        <f t="shared" si="92"/>
        <v>0</v>
      </c>
      <c r="J233" s="80">
        <f t="shared" si="92"/>
        <v>0</v>
      </c>
      <c r="K233" s="73"/>
      <c r="L233" s="73"/>
      <c r="M233" s="73"/>
      <c r="N233" s="73"/>
      <c r="O233" s="73"/>
      <c r="P233" s="73"/>
      <c r="Q233" s="73"/>
      <c r="R233" s="73"/>
      <c r="S233" s="73"/>
      <c r="T233" s="73"/>
      <c r="U233" s="73"/>
      <c r="V233" s="73"/>
      <c r="W233" s="73"/>
    </row>
    <row r="234" spans="1:23" ht="15.75" customHeight="1">
      <c r="A234" s="78" t="str">
        <f t="shared" si="56"/>
        <v>Brinjal</v>
      </c>
      <c r="B234" s="78"/>
      <c r="C234" s="79"/>
      <c r="D234" s="80">
        <f t="shared" ref="D234:J234" si="93">C99*$C234*D$124</f>
        <v>0</v>
      </c>
      <c r="E234" s="80">
        <f t="shared" si="93"/>
        <v>0</v>
      </c>
      <c r="F234" s="80">
        <f t="shared" si="93"/>
        <v>0</v>
      </c>
      <c r="G234" s="80">
        <f t="shared" si="93"/>
        <v>0</v>
      </c>
      <c r="H234" s="80">
        <f t="shared" si="93"/>
        <v>0</v>
      </c>
      <c r="I234" s="80">
        <f t="shared" si="93"/>
        <v>0</v>
      </c>
      <c r="J234" s="80">
        <f t="shared" si="93"/>
        <v>0</v>
      </c>
      <c r="K234" s="73"/>
      <c r="L234" s="73"/>
      <c r="M234" s="73"/>
      <c r="N234" s="73"/>
      <c r="O234" s="73"/>
      <c r="P234" s="73"/>
      <c r="Q234" s="73"/>
      <c r="R234" s="73"/>
      <c r="S234" s="73"/>
      <c r="T234" s="73"/>
      <c r="U234" s="73"/>
      <c r="V234" s="73"/>
      <c r="W234" s="73"/>
    </row>
    <row r="235" spans="1:23" ht="15.75" customHeight="1">
      <c r="A235" s="78">
        <f t="shared" si="56"/>
        <v>0</v>
      </c>
      <c r="B235" s="78"/>
      <c r="C235" s="79"/>
      <c r="D235" s="80">
        <f t="shared" ref="D235:J235" si="94">C100*$C235*D$124</f>
        <v>0</v>
      </c>
      <c r="E235" s="80">
        <f t="shared" si="94"/>
        <v>0</v>
      </c>
      <c r="F235" s="80">
        <f t="shared" si="94"/>
        <v>0</v>
      </c>
      <c r="G235" s="80">
        <f t="shared" si="94"/>
        <v>0</v>
      </c>
      <c r="H235" s="80">
        <f t="shared" si="94"/>
        <v>0</v>
      </c>
      <c r="I235" s="80">
        <f t="shared" si="94"/>
        <v>0</v>
      </c>
      <c r="J235" s="80">
        <f t="shared" si="94"/>
        <v>0</v>
      </c>
      <c r="K235" s="73"/>
      <c r="L235" s="73"/>
      <c r="M235" s="73"/>
      <c r="N235" s="73"/>
      <c r="O235" s="73"/>
      <c r="P235" s="73"/>
      <c r="Q235" s="73"/>
      <c r="R235" s="73"/>
      <c r="S235" s="73"/>
      <c r="T235" s="73"/>
      <c r="U235" s="73"/>
      <c r="V235" s="73"/>
      <c r="W235" s="73"/>
    </row>
    <row r="236" spans="1:23" ht="15.75" customHeight="1">
      <c r="A236" s="78">
        <f t="shared" si="56"/>
        <v>0</v>
      </c>
      <c r="B236" s="78"/>
      <c r="C236" s="79"/>
      <c r="D236" s="80">
        <f t="shared" ref="D236:J236" si="95">C101*$C236*D$124</f>
        <v>0</v>
      </c>
      <c r="E236" s="80">
        <f t="shared" si="95"/>
        <v>0</v>
      </c>
      <c r="F236" s="80">
        <f t="shared" si="95"/>
        <v>0</v>
      </c>
      <c r="G236" s="80">
        <f t="shared" si="95"/>
        <v>0</v>
      </c>
      <c r="H236" s="80">
        <f t="shared" si="95"/>
        <v>0</v>
      </c>
      <c r="I236" s="80">
        <f t="shared" si="95"/>
        <v>0</v>
      </c>
      <c r="J236" s="80">
        <f t="shared" si="95"/>
        <v>0</v>
      </c>
      <c r="K236" s="73"/>
      <c r="L236" s="73"/>
      <c r="M236" s="73"/>
      <c r="N236" s="73"/>
      <c r="O236" s="73"/>
      <c r="P236" s="73"/>
      <c r="Q236" s="73"/>
      <c r="R236" s="73"/>
      <c r="S236" s="73"/>
      <c r="T236" s="73"/>
      <c r="U236" s="73"/>
      <c r="V236" s="73"/>
      <c r="W236" s="73"/>
    </row>
    <row r="237" spans="1:23" ht="15.75" customHeight="1">
      <c r="A237" s="78">
        <f t="shared" si="56"/>
        <v>0</v>
      </c>
      <c r="B237" s="78"/>
      <c r="C237" s="79"/>
      <c r="D237" s="80">
        <f t="shared" ref="D237:J237" si="96">C102*$C237*D$124</f>
        <v>0</v>
      </c>
      <c r="E237" s="80">
        <f t="shared" si="96"/>
        <v>0</v>
      </c>
      <c r="F237" s="80">
        <f t="shared" si="96"/>
        <v>0</v>
      </c>
      <c r="G237" s="80">
        <f t="shared" si="96"/>
        <v>0</v>
      </c>
      <c r="H237" s="80">
        <f t="shared" si="96"/>
        <v>0</v>
      </c>
      <c r="I237" s="80">
        <f t="shared" si="96"/>
        <v>0</v>
      </c>
      <c r="J237" s="80">
        <f t="shared" si="96"/>
        <v>0</v>
      </c>
      <c r="K237" s="73"/>
      <c r="L237" s="73"/>
      <c r="M237" s="73"/>
      <c r="N237" s="73"/>
      <c r="O237" s="73"/>
      <c r="P237" s="73"/>
      <c r="Q237" s="73"/>
      <c r="R237" s="73"/>
      <c r="S237" s="73"/>
      <c r="T237" s="73"/>
      <c r="U237" s="73"/>
      <c r="V237" s="73"/>
      <c r="W237" s="73"/>
    </row>
    <row r="238" spans="1:23" ht="15.75" customHeight="1">
      <c r="A238" s="78">
        <f t="shared" si="56"/>
        <v>0</v>
      </c>
      <c r="B238" s="78"/>
      <c r="C238" s="79"/>
      <c r="D238" s="80">
        <f t="shared" ref="D238:J238" si="97">C103*$C238*D$124</f>
        <v>0</v>
      </c>
      <c r="E238" s="80">
        <f t="shared" si="97"/>
        <v>0</v>
      </c>
      <c r="F238" s="80">
        <f t="shared" si="97"/>
        <v>0</v>
      </c>
      <c r="G238" s="80">
        <f t="shared" si="97"/>
        <v>0</v>
      </c>
      <c r="H238" s="80">
        <f t="shared" si="97"/>
        <v>0</v>
      </c>
      <c r="I238" s="80">
        <f t="shared" si="97"/>
        <v>0</v>
      </c>
      <c r="J238" s="80">
        <f t="shared" si="97"/>
        <v>0</v>
      </c>
      <c r="K238" s="73"/>
      <c r="L238" s="73"/>
      <c r="M238" s="73"/>
      <c r="N238" s="73"/>
      <c r="O238" s="73"/>
      <c r="P238" s="73"/>
      <c r="Q238" s="73"/>
      <c r="R238" s="73"/>
      <c r="S238" s="73"/>
      <c r="T238" s="73"/>
      <c r="U238" s="73"/>
      <c r="V238" s="73"/>
      <c r="W238" s="73"/>
    </row>
    <row r="239" spans="1:23" ht="15.75" customHeight="1">
      <c r="A239" s="78" t="str">
        <f t="shared" ref="A239:A243" si="98">A175</f>
        <v>Pomegranate</v>
      </c>
      <c r="B239" s="78"/>
      <c r="C239" s="79"/>
      <c r="D239" s="80">
        <f t="shared" ref="D239:J239" si="99">C107*$C239*D$124</f>
        <v>0</v>
      </c>
      <c r="E239" s="80">
        <f t="shared" si="99"/>
        <v>0</v>
      </c>
      <c r="F239" s="80">
        <f t="shared" si="99"/>
        <v>0</v>
      </c>
      <c r="G239" s="80">
        <f t="shared" si="99"/>
        <v>0</v>
      </c>
      <c r="H239" s="80">
        <f t="shared" si="99"/>
        <v>0</v>
      </c>
      <c r="I239" s="80">
        <f t="shared" si="99"/>
        <v>0</v>
      </c>
      <c r="J239" s="80">
        <f t="shared" si="99"/>
        <v>0</v>
      </c>
      <c r="K239" s="73"/>
      <c r="L239" s="73"/>
      <c r="M239" s="73"/>
      <c r="N239" s="73"/>
      <c r="O239" s="73"/>
      <c r="P239" s="73"/>
      <c r="Q239" s="73"/>
      <c r="R239" s="73"/>
      <c r="S239" s="73"/>
      <c r="T239" s="73"/>
      <c r="U239" s="73"/>
      <c r="V239" s="73"/>
      <c r="W239" s="73"/>
    </row>
    <row r="240" spans="1:23" ht="15.75" customHeight="1">
      <c r="A240" s="78" t="str">
        <f t="shared" si="98"/>
        <v>Custard Apple</v>
      </c>
      <c r="B240" s="78"/>
      <c r="C240" s="79"/>
      <c r="D240" s="80">
        <f t="shared" ref="D240:J240" si="100">C108*$C240*D$124</f>
        <v>0</v>
      </c>
      <c r="E240" s="80">
        <f t="shared" si="100"/>
        <v>0</v>
      </c>
      <c r="F240" s="80">
        <f t="shared" si="100"/>
        <v>0</v>
      </c>
      <c r="G240" s="80">
        <f t="shared" si="100"/>
        <v>0</v>
      </c>
      <c r="H240" s="80">
        <f t="shared" si="100"/>
        <v>0</v>
      </c>
      <c r="I240" s="80">
        <f t="shared" si="100"/>
        <v>0</v>
      </c>
      <c r="J240" s="80">
        <f t="shared" si="100"/>
        <v>0</v>
      </c>
      <c r="K240" s="73"/>
      <c r="L240" s="73"/>
      <c r="M240" s="73"/>
      <c r="N240" s="73"/>
      <c r="O240" s="73"/>
      <c r="P240" s="73"/>
      <c r="Q240" s="73"/>
      <c r="R240" s="73"/>
      <c r="S240" s="73"/>
      <c r="T240" s="73"/>
      <c r="U240" s="73"/>
      <c r="V240" s="73"/>
      <c r="W240" s="73"/>
    </row>
    <row r="241" spans="1:23" ht="15.75" customHeight="1">
      <c r="A241" s="78" t="str">
        <f t="shared" si="98"/>
        <v>Guava</v>
      </c>
      <c r="B241" s="78"/>
      <c r="C241" s="79"/>
      <c r="D241" s="80">
        <f t="shared" ref="D241:J241" si="101">C109*$C241*D$124</f>
        <v>0</v>
      </c>
      <c r="E241" s="80">
        <f t="shared" si="101"/>
        <v>0</v>
      </c>
      <c r="F241" s="80">
        <f t="shared" si="101"/>
        <v>0</v>
      </c>
      <c r="G241" s="80">
        <f t="shared" si="101"/>
        <v>0</v>
      </c>
      <c r="H241" s="80">
        <f t="shared" si="101"/>
        <v>0</v>
      </c>
      <c r="I241" s="80">
        <f t="shared" si="101"/>
        <v>0</v>
      </c>
      <c r="J241" s="80">
        <f t="shared" si="101"/>
        <v>0</v>
      </c>
      <c r="K241" s="73"/>
      <c r="L241" s="73"/>
      <c r="M241" s="73"/>
      <c r="N241" s="73"/>
      <c r="O241" s="73"/>
      <c r="P241" s="73"/>
      <c r="Q241" s="73"/>
      <c r="R241" s="73"/>
      <c r="S241" s="73"/>
      <c r="T241" s="73"/>
      <c r="U241" s="73"/>
      <c r="V241" s="73"/>
      <c r="W241" s="73"/>
    </row>
    <row r="242" spans="1:23" ht="15.75" customHeight="1">
      <c r="A242" s="78" t="str">
        <f t="shared" si="98"/>
        <v>Citrus</v>
      </c>
      <c r="B242" s="78"/>
      <c r="C242" s="79"/>
      <c r="D242" s="80">
        <f t="shared" ref="D242:J242" si="102">C110*$C242*D$124</f>
        <v>0</v>
      </c>
      <c r="E242" s="80">
        <f t="shared" si="102"/>
        <v>0</v>
      </c>
      <c r="F242" s="80">
        <f t="shared" si="102"/>
        <v>0</v>
      </c>
      <c r="G242" s="80">
        <f t="shared" si="102"/>
        <v>0</v>
      </c>
      <c r="H242" s="80">
        <f t="shared" si="102"/>
        <v>0</v>
      </c>
      <c r="I242" s="80">
        <f t="shared" si="102"/>
        <v>0</v>
      </c>
      <c r="J242" s="80">
        <f t="shared" si="102"/>
        <v>0</v>
      </c>
      <c r="K242" s="73"/>
      <c r="L242" s="73"/>
      <c r="M242" s="73"/>
      <c r="N242" s="73"/>
      <c r="O242" s="73"/>
      <c r="P242" s="73"/>
      <c r="Q242" s="73"/>
      <c r="R242" s="73"/>
      <c r="S242" s="73"/>
      <c r="T242" s="73"/>
      <c r="U242" s="73"/>
      <c r="V242" s="73"/>
      <c r="W242" s="73"/>
    </row>
    <row r="243" spans="1:23" ht="15.75" customHeight="1">
      <c r="A243" s="78">
        <f t="shared" si="98"/>
        <v>0</v>
      </c>
      <c r="B243" s="78"/>
      <c r="C243" s="79"/>
      <c r="D243" s="80">
        <f t="shared" ref="D243:J243" si="103">C111*$C243*D$124</f>
        <v>0</v>
      </c>
      <c r="E243" s="80">
        <f t="shared" si="103"/>
        <v>0</v>
      </c>
      <c r="F243" s="80">
        <f t="shared" si="103"/>
        <v>0</v>
      </c>
      <c r="G243" s="80">
        <f t="shared" si="103"/>
        <v>0</v>
      </c>
      <c r="H243" s="80">
        <f t="shared" si="103"/>
        <v>0</v>
      </c>
      <c r="I243" s="80">
        <f t="shared" si="103"/>
        <v>0</v>
      </c>
      <c r="J243" s="80">
        <f t="shared" si="103"/>
        <v>0</v>
      </c>
      <c r="K243" s="73"/>
      <c r="L243" s="73"/>
      <c r="M243" s="73"/>
      <c r="N243" s="73"/>
      <c r="O243" s="73"/>
      <c r="P243" s="73"/>
      <c r="Q243" s="73"/>
      <c r="R243" s="73"/>
      <c r="S243" s="73"/>
      <c r="T243" s="73"/>
      <c r="U243" s="73"/>
      <c r="V243" s="73"/>
      <c r="W243" s="73"/>
    </row>
    <row r="244" spans="1:23" ht="15.75" customHeight="1">
      <c r="A244" s="78" t="str">
        <f t="shared" ref="A244:A247" si="104">A181</f>
        <v>Fertilizer(Rate/KG)</v>
      </c>
      <c r="B244" s="78"/>
      <c r="C244" s="80"/>
      <c r="D244" s="80"/>
      <c r="E244" s="80"/>
      <c r="F244" s="80"/>
      <c r="G244" s="80"/>
      <c r="H244" s="80"/>
      <c r="I244" s="80"/>
      <c r="J244" s="80"/>
      <c r="K244" s="73"/>
      <c r="L244" s="73"/>
      <c r="M244" s="73"/>
      <c r="N244" s="73"/>
      <c r="O244" s="73"/>
      <c r="P244" s="73"/>
      <c r="Q244" s="73"/>
      <c r="R244" s="73"/>
      <c r="S244" s="73"/>
      <c r="T244" s="73"/>
      <c r="U244" s="73"/>
      <c r="V244" s="73"/>
      <c r="W244" s="73"/>
    </row>
    <row r="245" spans="1:23" ht="15.75" customHeight="1">
      <c r="A245" s="78" t="str">
        <f t="shared" si="104"/>
        <v>SSP</v>
      </c>
      <c r="B245" s="78"/>
      <c r="C245" s="79">
        <v>6</v>
      </c>
      <c r="D245" s="80">
        <f t="shared" ref="D245:J245" si="105">C114*$C$245*D124</f>
        <v>0</v>
      </c>
      <c r="E245" s="80">
        <f t="shared" si="105"/>
        <v>0</v>
      </c>
      <c r="F245" s="80">
        <f t="shared" si="105"/>
        <v>0</v>
      </c>
      <c r="G245" s="80">
        <f t="shared" si="105"/>
        <v>0</v>
      </c>
      <c r="H245" s="80">
        <f t="shared" si="105"/>
        <v>0</v>
      </c>
      <c r="I245" s="80">
        <f t="shared" si="105"/>
        <v>0</v>
      </c>
      <c r="J245" s="80">
        <f t="shared" si="105"/>
        <v>0</v>
      </c>
      <c r="K245" s="73"/>
      <c r="L245" s="73"/>
      <c r="M245" s="73"/>
      <c r="N245" s="73"/>
      <c r="O245" s="73"/>
      <c r="P245" s="73"/>
      <c r="Q245" s="73"/>
      <c r="R245" s="73"/>
      <c r="S245" s="73"/>
      <c r="T245" s="73"/>
      <c r="U245" s="73"/>
      <c r="V245" s="73"/>
      <c r="W245" s="73"/>
    </row>
    <row r="246" spans="1:23" ht="15.75" customHeight="1">
      <c r="A246" s="78" t="str">
        <f t="shared" si="104"/>
        <v>Urea</v>
      </c>
      <c r="B246" s="78"/>
      <c r="C246" s="79">
        <v>5</v>
      </c>
      <c r="D246" s="80">
        <f t="shared" ref="D246:J246" si="106">C115*$C$246*D124</f>
        <v>0</v>
      </c>
      <c r="E246" s="80">
        <f t="shared" si="106"/>
        <v>0</v>
      </c>
      <c r="F246" s="80">
        <f t="shared" si="106"/>
        <v>0</v>
      </c>
      <c r="G246" s="80">
        <f t="shared" si="106"/>
        <v>0</v>
      </c>
      <c r="H246" s="80">
        <f t="shared" si="106"/>
        <v>0</v>
      </c>
      <c r="I246" s="80">
        <f t="shared" si="106"/>
        <v>0</v>
      </c>
      <c r="J246" s="80">
        <f t="shared" si="106"/>
        <v>0</v>
      </c>
      <c r="K246" s="73"/>
      <c r="L246" s="73"/>
      <c r="M246" s="73"/>
      <c r="N246" s="73"/>
      <c r="O246" s="73"/>
      <c r="P246" s="73"/>
      <c r="Q246" s="73"/>
      <c r="R246" s="73"/>
      <c r="S246" s="73"/>
      <c r="T246" s="73"/>
      <c r="U246" s="73"/>
      <c r="V246" s="73"/>
      <c r="W246" s="73"/>
    </row>
    <row r="247" spans="1:23" ht="15.75" customHeight="1">
      <c r="A247" s="78" t="str">
        <f t="shared" si="104"/>
        <v>DAP</v>
      </c>
      <c r="B247" s="78"/>
      <c r="C247" s="79">
        <v>27</v>
      </c>
      <c r="D247" s="80">
        <f t="shared" ref="D247:J247" si="107">C116*$C$247*D124</f>
        <v>0</v>
      </c>
      <c r="E247" s="80">
        <f t="shared" si="107"/>
        <v>0</v>
      </c>
      <c r="F247" s="80">
        <f t="shared" si="107"/>
        <v>0</v>
      </c>
      <c r="G247" s="80">
        <f t="shared" si="107"/>
        <v>0</v>
      </c>
      <c r="H247" s="80">
        <f t="shared" si="107"/>
        <v>0</v>
      </c>
      <c r="I247" s="80">
        <f t="shared" si="107"/>
        <v>0</v>
      </c>
      <c r="J247" s="80">
        <f t="shared" si="107"/>
        <v>0</v>
      </c>
      <c r="K247" s="73"/>
      <c r="L247" s="73"/>
      <c r="M247" s="73"/>
      <c r="N247" s="73"/>
      <c r="O247" s="73"/>
      <c r="P247" s="73"/>
      <c r="Q247" s="73"/>
      <c r="R247" s="73"/>
      <c r="S247" s="73"/>
      <c r="T247" s="73"/>
      <c r="U247" s="73"/>
      <c r="V247" s="73"/>
      <c r="W247" s="73"/>
    </row>
    <row r="248" spans="1:23" ht="15.75" customHeight="1">
      <c r="A248" s="78"/>
      <c r="B248" s="78"/>
      <c r="C248" s="80"/>
      <c r="D248" s="80"/>
      <c r="E248" s="80"/>
      <c r="F248" s="80"/>
      <c r="G248" s="80"/>
      <c r="H248" s="80"/>
      <c r="I248" s="80"/>
      <c r="J248" s="80"/>
      <c r="K248" s="73"/>
      <c r="L248" s="73"/>
      <c r="M248" s="73"/>
      <c r="N248" s="73"/>
      <c r="O248" s="73"/>
      <c r="P248" s="73"/>
      <c r="Q248" s="73"/>
      <c r="R248" s="73"/>
      <c r="S248" s="73"/>
      <c r="T248" s="73"/>
      <c r="U248" s="73"/>
      <c r="V248" s="73"/>
      <c r="W248" s="73"/>
    </row>
    <row r="249" spans="1:23" ht="15.75" customHeight="1">
      <c r="A249" s="78" t="str">
        <f t="shared" ref="A249:A251" si="108">A186</f>
        <v>Pesticide</v>
      </c>
      <c r="B249" s="78"/>
      <c r="C249" s="80"/>
      <c r="D249" s="80"/>
      <c r="E249" s="80"/>
      <c r="F249" s="80"/>
      <c r="G249" s="80"/>
      <c r="H249" s="80"/>
      <c r="I249" s="80"/>
      <c r="J249" s="80"/>
      <c r="K249" s="73"/>
      <c r="L249" s="73"/>
      <c r="M249" s="73"/>
      <c r="N249" s="73"/>
      <c r="O249" s="73"/>
      <c r="P249" s="73"/>
      <c r="Q249" s="73"/>
      <c r="R249" s="73"/>
      <c r="S249" s="73"/>
      <c r="T249" s="73"/>
      <c r="U249" s="73"/>
      <c r="V249" s="73"/>
      <c r="W249" s="73"/>
    </row>
    <row r="250" spans="1:23" ht="15.75" customHeight="1">
      <c r="A250" s="78" t="str">
        <f t="shared" si="108"/>
        <v>Dupont Coragen</v>
      </c>
      <c r="B250" s="78"/>
      <c r="C250" s="79">
        <v>2800</v>
      </c>
      <c r="D250" s="80">
        <f t="shared" ref="D250:J250" si="109">C118*$C$250*D124</f>
        <v>0</v>
      </c>
      <c r="E250" s="80">
        <f t="shared" si="109"/>
        <v>0</v>
      </c>
      <c r="F250" s="80">
        <f t="shared" si="109"/>
        <v>0</v>
      </c>
      <c r="G250" s="80">
        <f t="shared" si="109"/>
        <v>0</v>
      </c>
      <c r="H250" s="80">
        <f t="shared" si="109"/>
        <v>0</v>
      </c>
      <c r="I250" s="80">
        <f t="shared" si="109"/>
        <v>0</v>
      </c>
      <c r="J250" s="80">
        <f t="shared" si="109"/>
        <v>0</v>
      </c>
      <c r="K250" s="73"/>
      <c r="L250" s="73"/>
      <c r="M250" s="73"/>
      <c r="N250" s="73"/>
      <c r="O250" s="73"/>
      <c r="P250" s="73"/>
      <c r="Q250" s="73"/>
      <c r="R250" s="73"/>
      <c r="S250" s="73"/>
      <c r="T250" s="73"/>
      <c r="U250" s="73"/>
      <c r="V250" s="73"/>
      <c r="W250" s="73"/>
    </row>
    <row r="251" spans="1:23" ht="15.75" customHeight="1">
      <c r="A251" s="78" t="str">
        <f t="shared" si="108"/>
        <v>Confidor Boyer</v>
      </c>
      <c r="B251" s="78"/>
      <c r="C251" s="79">
        <v>2000</v>
      </c>
      <c r="D251" s="80">
        <f t="shared" ref="D251:J251" si="110">C119*$C$251*D124</f>
        <v>0</v>
      </c>
      <c r="E251" s="80">
        <f t="shared" si="110"/>
        <v>0</v>
      </c>
      <c r="F251" s="80">
        <f t="shared" si="110"/>
        <v>0</v>
      </c>
      <c r="G251" s="80">
        <f t="shared" si="110"/>
        <v>0</v>
      </c>
      <c r="H251" s="80">
        <f t="shared" si="110"/>
        <v>0</v>
      </c>
      <c r="I251" s="80">
        <f t="shared" si="110"/>
        <v>0</v>
      </c>
      <c r="J251" s="80">
        <f t="shared" si="110"/>
        <v>0</v>
      </c>
      <c r="K251" s="73"/>
      <c r="L251" s="73"/>
      <c r="M251" s="73"/>
      <c r="N251" s="73"/>
      <c r="O251" s="73"/>
      <c r="P251" s="73"/>
      <c r="Q251" s="73"/>
      <c r="R251" s="73"/>
      <c r="S251" s="73"/>
      <c r="T251" s="73"/>
      <c r="U251" s="73"/>
      <c r="V251" s="73"/>
      <c r="W251" s="73"/>
    </row>
    <row r="252" spans="1:23" ht="15.75" customHeight="1">
      <c r="A252" s="78"/>
      <c r="B252" s="78"/>
      <c r="C252" s="80"/>
      <c r="D252" s="80"/>
      <c r="E252" s="80"/>
      <c r="F252" s="80"/>
      <c r="G252" s="80"/>
      <c r="H252" s="80"/>
      <c r="I252" s="80"/>
      <c r="J252" s="80"/>
      <c r="K252" s="73"/>
      <c r="L252" s="73"/>
      <c r="M252" s="73"/>
      <c r="N252" s="73"/>
      <c r="O252" s="73"/>
      <c r="P252" s="73"/>
      <c r="Q252" s="73"/>
      <c r="R252" s="73"/>
      <c r="S252" s="73"/>
      <c r="T252" s="73"/>
      <c r="U252" s="73"/>
      <c r="V252" s="73"/>
      <c r="W252" s="73"/>
    </row>
    <row r="253" spans="1:23" ht="15.75" customHeight="1">
      <c r="A253" s="78" t="s">
        <v>687</v>
      </c>
      <c r="B253" s="78"/>
      <c r="C253" s="79">
        <v>10</v>
      </c>
      <c r="D253" s="80">
        <f t="shared" ref="D253:J253" si="111">(SUM(C63:C119)/50)*$C$253*D124</f>
        <v>0</v>
      </c>
      <c r="E253" s="80">
        <f t="shared" si="111"/>
        <v>0</v>
      </c>
      <c r="F253" s="80">
        <f t="shared" si="111"/>
        <v>0</v>
      </c>
      <c r="G253" s="80">
        <f t="shared" si="111"/>
        <v>0</v>
      </c>
      <c r="H253" s="80">
        <f t="shared" si="111"/>
        <v>0</v>
      </c>
      <c r="I253" s="80">
        <f t="shared" si="111"/>
        <v>0</v>
      </c>
      <c r="J253" s="80">
        <f t="shared" si="111"/>
        <v>0</v>
      </c>
      <c r="K253" s="73"/>
      <c r="L253" s="73"/>
      <c r="M253" s="73"/>
      <c r="N253" s="73"/>
      <c r="O253" s="73"/>
      <c r="P253" s="73"/>
      <c r="Q253" s="73"/>
      <c r="R253" s="73"/>
      <c r="S253" s="73"/>
      <c r="T253" s="73"/>
      <c r="U253" s="73"/>
      <c r="V253" s="73"/>
      <c r="W253" s="73"/>
    </row>
    <row r="254" spans="1:23" ht="15.75" customHeight="1">
      <c r="A254" s="78" t="s">
        <v>688</v>
      </c>
      <c r="B254" s="78"/>
      <c r="C254" s="79">
        <v>100</v>
      </c>
      <c r="D254" s="80">
        <f t="shared" ref="D254:J254" si="112">(SUM(C63:C119)/50)*$C$254*D124</f>
        <v>0</v>
      </c>
      <c r="E254" s="80">
        <f t="shared" si="112"/>
        <v>0</v>
      </c>
      <c r="F254" s="80">
        <f t="shared" si="112"/>
        <v>0</v>
      </c>
      <c r="G254" s="80">
        <f t="shared" si="112"/>
        <v>0</v>
      </c>
      <c r="H254" s="80">
        <f t="shared" si="112"/>
        <v>0</v>
      </c>
      <c r="I254" s="80">
        <f t="shared" si="112"/>
        <v>0</v>
      </c>
      <c r="J254" s="80">
        <f t="shared" si="112"/>
        <v>0</v>
      </c>
      <c r="K254" s="73"/>
      <c r="L254" s="73"/>
      <c r="M254" s="73"/>
      <c r="N254" s="73"/>
      <c r="O254" s="73"/>
      <c r="P254" s="73"/>
      <c r="Q254" s="73"/>
      <c r="R254" s="73"/>
      <c r="S254" s="73"/>
      <c r="T254" s="73"/>
      <c r="U254" s="73"/>
      <c r="V254" s="73"/>
      <c r="W254" s="73"/>
    </row>
    <row r="255" spans="1:23" ht="15.75" customHeight="1">
      <c r="A255" s="78"/>
      <c r="B255" s="78"/>
      <c r="C255" s="79"/>
      <c r="D255" s="289"/>
      <c r="E255" s="80"/>
      <c r="F255" s="80"/>
      <c r="G255" s="80"/>
      <c r="H255" s="80"/>
      <c r="I255" s="80"/>
      <c r="J255" s="80"/>
      <c r="K255" s="73"/>
      <c r="L255" s="73"/>
      <c r="M255" s="73"/>
      <c r="N255" s="73"/>
      <c r="O255" s="73"/>
      <c r="P255" s="73"/>
      <c r="Q255" s="73"/>
      <c r="R255" s="73"/>
      <c r="S255" s="73"/>
      <c r="T255" s="73"/>
      <c r="U255" s="73"/>
      <c r="V255" s="73"/>
      <c r="W255" s="73"/>
    </row>
    <row r="256" spans="1:23" ht="15.75" customHeight="1">
      <c r="A256" s="78"/>
      <c r="B256" s="78"/>
      <c r="C256" s="79"/>
      <c r="D256" s="289"/>
      <c r="E256" s="80"/>
      <c r="F256" s="80"/>
      <c r="G256" s="80"/>
      <c r="H256" s="80"/>
      <c r="I256" s="80"/>
      <c r="J256" s="80"/>
      <c r="K256" s="73"/>
      <c r="L256" s="73"/>
      <c r="M256" s="73"/>
      <c r="N256" s="73"/>
      <c r="O256" s="73"/>
      <c r="P256" s="73"/>
      <c r="Q256" s="73"/>
      <c r="R256" s="73"/>
      <c r="S256" s="73"/>
      <c r="T256" s="73"/>
      <c r="U256" s="73"/>
      <c r="V256" s="73"/>
      <c r="W256" s="73"/>
    </row>
    <row r="257" spans="1:23" ht="15.75" customHeight="1">
      <c r="A257" s="78"/>
      <c r="B257" s="78"/>
      <c r="C257" s="79"/>
      <c r="D257" s="289"/>
      <c r="E257" s="80"/>
      <c r="F257" s="80"/>
      <c r="G257" s="80"/>
      <c r="H257" s="80"/>
      <c r="I257" s="80"/>
      <c r="J257" s="80"/>
      <c r="K257" s="73"/>
      <c r="L257" s="73"/>
      <c r="M257" s="73"/>
      <c r="N257" s="73"/>
      <c r="O257" s="73"/>
      <c r="P257" s="73"/>
      <c r="Q257" s="73"/>
      <c r="R257" s="73"/>
      <c r="S257" s="73"/>
      <c r="T257" s="73"/>
      <c r="U257" s="73"/>
      <c r="V257" s="73"/>
      <c r="W257" s="73"/>
    </row>
    <row r="258" spans="1:23" ht="15.75" customHeight="1">
      <c r="A258" s="78"/>
      <c r="B258" s="78"/>
      <c r="C258" s="79"/>
      <c r="D258" s="289"/>
      <c r="E258" s="80"/>
      <c r="F258" s="80"/>
      <c r="G258" s="80"/>
      <c r="H258" s="80"/>
      <c r="I258" s="80"/>
      <c r="J258" s="80"/>
      <c r="K258" s="73"/>
      <c r="L258" s="73"/>
      <c r="M258" s="73"/>
      <c r="N258" s="73"/>
      <c r="O258" s="73"/>
      <c r="P258" s="73"/>
      <c r="Q258" s="73"/>
      <c r="R258" s="73"/>
      <c r="S258" s="73"/>
      <c r="T258" s="73"/>
      <c r="U258" s="73"/>
      <c r="V258" s="73"/>
      <c r="W258" s="73"/>
    </row>
    <row r="259" spans="1:23" ht="15.75" customHeight="1">
      <c r="A259" s="78" t="s">
        <v>595</v>
      </c>
      <c r="B259" s="78"/>
      <c r="C259" s="80"/>
      <c r="D259" s="289"/>
      <c r="E259" s="80">
        <f>'5.Closing Stock &amp; W Capital'!F6</f>
        <v>0</v>
      </c>
      <c r="F259" s="80">
        <f>'5.Closing Stock &amp; W Capital'!G6</f>
        <v>0</v>
      </c>
      <c r="G259" s="80">
        <f>'5.Closing Stock &amp; W Capital'!H6</f>
        <v>0</v>
      </c>
      <c r="H259" s="80">
        <f>'5.Closing Stock &amp; W Capital'!I6</f>
        <v>0</v>
      </c>
      <c r="I259" s="80">
        <f>'5.Closing Stock &amp; W Capital'!J6</f>
        <v>0</v>
      </c>
      <c r="J259" s="80">
        <f>'5.Closing Stock &amp; W Capital'!K6</f>
        <v>0</v>
      </c>
      <c r="K259" s="73"/>
      <c r="L259" s="73"/>
      <c r="M259" s="73"/>
      <c r="N259" s="73"/>
      <c r="O259" s="73"/>
      <c r="P259" s="73"/>
      <c r="Q259" s="73"/>
      <c r="R259" s="73"/>
      <c r="S259" s="73"/>
      <c r="T259" s="73"/>
      <c r="U259" s="73"/>
      <c r="V259" s="73"/>
      <c r="W259" s="73"/>
    </row>
    <row r="260" spans="1:23" ht="15.75" customHeight="1">
      <c r="A260" s="78" t="s">
        <v>596</v>
      </c>
      <c r="B260" s="78"/>
      <c r="C260" s="78"/>
      <c r="D260" s="289">
        <f>'5.Closing Stock &amp; W Capital'!E15</f>
        <v>0</v>
      </c>
      <c r="E260" s="80">
        <f>'5.Closing Stock &amp; W Capital'!F15</f>
        <v>0</v>
      </c>
      <c r="F260" s="80">
        <f>'5.Closing Stock &amp; W Capital'!G15</f>
        <v>0</v>
      </c>
      <c r="G260" s="80">
        <f>'5.Closing Stock &amp; W Capital'!H15</f>
        <v>0</v>
      </c>
      <c r="H260" s="80">
        <f>'5.Closing Stock &amp; W Capital'!I15</f>
        <v>0</v>
      </c>
      <c r="I260" s="80">
        <f>'5.Closing Stock &amp; W Capital'!J15</f>
        <v>0</v>
      </c>
      <c r="J260" s="80">
        <f>'5.Closing Stock &amp; W Capital'!K15</f>
        <v>0</v>
      </c>
      <c r="K260" s="73"/>
      <c r="L260" s="73"/>
      <c r="M260" s="73"/>
      <c r="N260" s="73"/>
      <c r="O260" s="73"/>
      <c r="P260" s="73"/>
      <c r="Q260" s="73"/>
      <c r="R260" s="73"/>
      <c r="S260" s="73"/>
      <c r="T260" s="73"/>
      <c r="U260" s="73"/>
      <c r="V260" s="73"/>
      <c r="W260" s="73"/>
    </row>
    <row r="261" spans="1:23" ht="15.75" customHeight="1">
      <c r="A261" s="78"/>
      <c r="B261" s="78"/>
      <c r="C261" s="78"/>
      <c r="D261" s="73"/>
      <c r="E261" s="73"/>
      <c r="F261" s="73"/>
      <c r="G261" s="73"/>
      <c r="H261" s="73"/>
      <c r="I261" s="73"/>
      <c r="J261" s="73"/>
      <c r="K261" s="73"/>
      <c r="L261" s="73"/>
      <c r="M261" s="73"/>
      <c r="N261" s="73"/>
      <c r="O261" s="73"/>
      <c r="P261" s="73"/>
      <c r="Q261" s="73"/>
      <c r="R261" s="73"/>
      <c r="S261" s="73"/>
      <c r="T261" s="73"/>
      <c r="U261" s="73"/>
      <c r="V261" s="73"/>
      <c r="W261" s="73"/>
    </row>
    <row r="262" spans="1:23" ht="15.75" customHeight="1">
      <c r="A262" s="81" t="s">
        <v>359</v>
      </c>
      <c r="B262" s="81"/>
      <c r="C262" s="82"/>
      <c r="D262" s="82">
        <f t="shared" ref="D262:J262" si="113">SUM(D197:D258)+D259-D260</f>
        <v>0</v>
      </c>
      <c r="E262" s="82">
        <f t="shared" si="113"/>
        <v>0</v>
      </c>
      <c r="F262" s="82">
        <f t="shared" si="113"/>
        <v>0</v>
      </c>
      <c r="G262" s="82">
        <f t="shared" si="113"/>
        <v>0</v>
      </c>
      <c r="H262" s="82">
        <f t="shared" si="113"/>
        <v>0</v>
      </c>
      <c r="I262" s="82">
        <f t="shared" si="113"/>
        <v>0</v>
      </c>
      <c r="J262" s="82">
        <f t="shared" si="113"/>
        <v>0</v>
      </c>
      <c r="K262" s="73"/>
      <c r="L262" s="73"/>
      <c r="M262" s="73"/>
      <c r="N262" s="73"/>
      <c r="O262" s="73"/>
      <c r="P262" s="73"/>
      <c r="Q262" s="73"/>
      <c r="R262" s="73"/>
      <c r="S262" s="73"/>
      <c r="T262" s="73"/>
      <c r="U262" s="73"/>
      <c r="V262" s="73"/>
      <c r="W262" s="73"/>
    </row>
    <row r="263" spans="1:23" ht="15.75" customHeight="1">
      <c r="A263" s="78"/>
      <c r="B263" s="78"/>
      <c r="C263" s="80"/>
      <c r="D263" s="80"/>
      <c r="E263" s="80"/>
      <c r="F263" s="80"/>
      <c r="G263" s="80"/>
      <c r="H263" s="80"/>
      <c r="I263" s="80"/>
      <c r="J263" s="80"/>
      <c r="K263" s="73"/>
      <c r="L263" s="73"/>
      <c r="M263" s="73"/>
      <c r="N263" s="73"/>
      <c r="O263" s="73"/>
      <c r="P263" s="73"/>
      <c r="Q263" s="73"/>
      <c r="R263" s="73"/>
      <c r="S263" s="73"/>
      <c r="T263" s="73"/>
      <c r="U263" s="73"/>
      <c r="V263" s="73"/>
      <c r="W263" s="73"/>
    </row>
    <row r="264" spans="1:23" ht="15.75" customHeight="1">
      <c r="A264" s="81" t="s">
        <v>360</v>
      </c>
      <c r="B264" s="81"/>
      <c r="C264" s="80"/>
      <c r="D264" s="80"/>
      <c r="E264" s="80"/>
      <c r="F264" s="80"/>
      <c r="G264" s="80"/>
      <c r="H264" s="80"/>
      <c r="I264" s="80"/>
      <c r="J264" s="80"/>
      <c r="K264" s="73"/>
      <c r="L264" s="73"/>
      <c r="M264" s="73"/>
      <c r="N264" s="73"/>
      <c r="O264" s="73"/>
      <c r="P264" s="73"/>
      <c r="Q264" s="73"/>
      <c r="R264" s="73"/>
      <c r="S264" s="73"/>
      <c r="T264" s="73"/>
      <c r="U264" s="73"/>
      <c r="V264" s="73"/>
      <c r="W264" s="73"/>
    </row>
    <row r="265" spans="1:23" ht="15.75" customHeight="1">
      <c r="A265" s="78" t="s">
        <v>689</v>
      </c>
      <c r="B265" s="78">
        <v>12</v>
      </c>
      <c r="C265" s="79"/>
      <c r="D265" s="80">
        <f t="shared" ref="D265:J265" si="114">$B$265*$C$265*D124</f>
        <v>0</v>
      </c>
      <c r="E265" s="80">
        <f t="shared" si="114"/>
        <v>0</v>
      </c>
      <c r="F265" s="80">
        <f t="shared" si="114"/>
        <v>0</v>
      </c>
      <c r="G265" s="80">
        <f t="shared" si="114"/>
        <v>0</v>
      </c>
      <c r="H265" s="80">
        <f t="shared" si="114"/>
        <v>0</v>
      </c>
      <c r="I265" s="80">
        <f t="shared" si="114"/>
        <v>0</v>
      </c>
      <c r="J265" s="80">
        <f t="shared" si="114"/>
        <v>0</v>
      </c>
      <c r="K265" s="73"/>
      <c r="L265" s="73"/>
      <c r="M265" s="73"/>
      <c r="N265" s="73"/>
      <c r="O265" s="73"/>
      <c r="P265" s="73"/>
      <c r="Q265" s="73"/>
      <c r="R265" s="73"/>
      <c r="S265" s="73"/>
      <c r="T265" s="73"/>
      <c r="U265" s="73"/>
      <c r="V265" s="73"/>
      <c r="W265" s="73"/>
    </row>
    <row r="266" spans="1:23" ht="15.75" customHeight="1">
      <c r="A266" s="78" t="s">
        <v>690</v>
      </c>
      <c r="B266" s="50">
        <v>1</v>
      </c>
      <c r="C266" s="79"/>
      <c r="D266" s="80">
        <f t="shared" ref="D266:J266" si="115">$B$266*$C$266*12*D124</f>
        <v>0</v>
      </c>
      <c r="E266" s="80">
        <f t="shared" si="115"/>
        <v>0</v>
      </c>
      <c r="F266" s="80">
        <f t="shared" si="115"/>
        <v>0</v>
      </c>
      <c r="G266" s="80">
        <f t="shared" si="115"/>
        <v>0</v>
      </c>
      <c r="H266" s="80">
        <f t="shared" si="115"/>
        <v>0</v>
      </c>
      <c r="I266" s="80">
        <f t="shared" si="115"/>
        <v>0</v>
      </c>
      <c r="J266" s="80">
        <f t="shared" si="115"/>
        <v>0</v>
      </c>
      <c r="K266" s="73"/>
      <c r="L266" s="73"/>
      <c r="M266" s="73"/>
      <c r="N266" s="73"/>
      <c r="O266" s="73"/>
      <c r="P266" s="73"/>
      <c r="Q266" s="73"/>
      <c r="R266" s="73"/>
      <c r="S266" s="73"/>
      <c r="T266" s="73"/>
      <c r="U266" s="73"/>
      <c r="V266" s="73"/>
      <c r="W266" s="73"/>
    </row>
    <row r="267" spans="1:23" ht="15.75" customHeight="1">
      <c r="A267" s="78" t="s">
        <v>691</v>
      </c>
      <c r="B267" s="50">
        <v>1</v>
      </c>
      <c r="C267" s="79"/>
      <c r="D267" s="80">
        <f t="shared" ref="D267:J267" si="116">$B$267*$C$267*12*D124</f>
        <v>0</v>
      </c>
      <c r="E267" s="80">
        <f t="shared" si="116"/>
        <v>0</v>
      </c>
      <c r="F267" s="80">
        <f t="shared" si="116"/>
        <v>0</v>
      </c>
      <c r="G267" s="80">
        <f t="shared" si="116"/>
        <v>0</v>
      </c>
      <c r="H267" s="80">
        <f t="shared" si="116"/>
        <v>0</v>
      </c>
      <c r="I267" s="80">
        <f t="shared" si="116"/>
        <v>0</v>
      </c>
      <c r="J267" s="80">
        <f t="shared" si="116"/>
        <v>0</v>
      </c>
      <c r="K267" s="73"/>
      <c r="L267" s="73"/>
      <c r="M267" s="73"/>
      <c r="N267" s="73"/>
      <c r="O267" s="73"/>
      <c r="P267" s="73"/>
      <c r="Q267" s="73"/>
      <c r="R267" s="73"/>
      <c r="S267" s="73"/>
      <c r="T267" s="73"/>
      <c r="U267" s="73"/>
      <c r="V267" s="73"/>
      <c r="W267" s="73"/>
    </row>
    <row r="268" spans="1:23" ht="15.75" customHeight="1">
      <c r="A268" s="78" t="s">
        <v>692</v>
      </c>
      <c r="B268" s="78">
        <v>12</v>
      </c>
      <c r="C268" s="79"/>
      <c r="D268" s="80">
        <f t="shared" ref="D268:J268" si="117">$B$268*$C$268*D124</f>
        <v>0</v>
      </c>
      <c r="E268" s="80">
        <f t="shared" si="117"/>
        <v>0</v>
      </c>
      <c r="F268" s="80">
        <f t="shared" si="117"/>
        <v>0</v>
      </c>
      <c r="G268" s="80">
        <f t="shared" si="117"/>
        <v>0</v>
      </c>
      <c r="H268" s="80">
        <f t="shared" si="117"/>
        <v>0</v>
      </c>
      <c r="I268" s="80">
        <f t="shared" si="117"/>
        <v>0</v>
      </c>
      <c r="J268" s="80">
        <f t="shared" si="117"/>
        <v>0</v>
      </c>
      <c r="K268" s="73"/>
      <c r="L268" s="73"/>
      <c r="M268" s="73"/>
      <c r="N268" s="73"/>
      <c r="O268" s="73"/>
      <c r="P268" s="73"/>
      <c r="Q268" s="73"/>
      <c r="R268" s="73"/>
      <c r="S268" s="73"/>
      <c r="T268" s="73"/>
      <c r="U268" s="73"/>
      <c r="V268" s="73"/>
      <c r="W268" s="73"/>
    </row>
    <row r="269" spans="1:23" ht="15.75" customHeight="1">
      <c r="A269" s="78"/>
      <c r="B269" s="78"/>
      <c r="C269" s="79"/>
      <c r="D269" s="80"/>
      <c r="E269" s="80"/>
      <c r="F269" s="80"/>
      <c r="G269" s="80"/>
      <c r="H269" s="80"/>
      <c r="I269" s="80"/>
      <c r="J269" s="80"/>
      <c r="K269" s="73"/>
      <c r="L269" s="73"/>
      <c r="M269" s="73"/>
      <c r="N269" s="73"/>
      <c r="O269" s="73"/>
      <c r="P269" s="73"/>
      <c r="Q269" s="73"/>
      <c r="R269" s="73"/>
      <c r="S269" s="73"/>
      <c r="T269" s="73"/>
      <c r="U269" s="73"/>
      <c r="V269" s="73"/>
      <c r="W269" s="73"/>
    </row>
    <row r="270" spans="1:23" ht="15.75" customHeight="1">
      <c r="A270" s="78"/>
      <c r="B270" s="78"/>
      <c r="C270" s="79"/>
      <c r="D270" s="80"/>
      <c r="E270" s="80"/>
      <c r="F270" s="80"/>
      <c r="G270" s="80"/>
      <c r="H270" s="80"/>
      <c r="I270" s="80"/>
      <c r="J270" s="80"/>
      <c r="K270" s="73"/>
      <c r="L270" s="73"/>
      <c r="M270" s="73"/>
      <c r="N270" s="73"/>
      <c r="O270" s="73"/>
      <c r="P270" s="73"/>
      <c r="Q270" s="73"/>
      <c r="R270" s="73"/>
      <c r="S270" s="73"/>
      <c r="T270" s="73"/>
      <c r="U270" s="73"/>
      <c r="V270" s="73"/>
      <c r="W270" s="73"/>
    </row>
    <row r="271" spans="1:23" ht="15.75" customHeight="1">
      <c r="A271" s="78"/>
      <c r="B271" s="78"/>
      <c r="C271" s="79"/>
      <c r="D271" s="80"/>
      <c r="E271" s="80"/>
      <c r="F271" s="80"/>
      <c r="G271" s="80"/>
      <c r="H271" s="80"/>
      <c r="I271" s="80"/>
      <c r="J271" s="80"/>
      <c r="K271" s="73"/>
      <c r="L271" s="73"/>
      <c r="M271" s="73"/>
      <c r="N271" s="73"/>
      <c r="O271" s="73"/>
      <c r="P271" s="73"/>
      <c r="Q271" s="73"/>
      <c r="R271" s="73"/>
      <c r="S271" s="73"/>
      <c r="T271" s="73"/>
      <c r="U271" s="73"/>
      <c r="V271" s="73"/>
      <c r="W271" s="73"/>
    </row>
    <row r="272" spans="1:23" ht="15.75" customHeight="1">
      <c r="A272" s="78"/>
      <c r="B272" s="78"/>
      <c r="C272" s="79"/>
      <c r="D272" s="80"/>
      <c r="E272" s="80"/>
      <c r="F272" s="80"/>
      <c r="G272" s="80"/>
      <c r="H272" s="80"/>
      <c r="I272" s="80"/>
      <c r="J272" s="80"/>
      <c r="K272" s="73"/>
      <c r="L272" s="73"/>
      <c r="M272" s="73"/>
      <c r="N272" s="73"/>
      <c r="O272" s="73"/>
      <c r="P272" s="73"/>
      <c r="Q272" s="73"/>
      <c r="R272" s="73"/>
      <c r="S272" s="73"/>
      <c r="T272" s="73"/>
      <c r="U272" s="73"/>
      <c r="V272" s="73"/>
      <c r="W272" s="73"/>
    </row>
    <row r="273" spans="1:23" ht="15.75" customHeight="1">
      <c r="A273" s="81" t="s">
        <v>362</v>
      </c>
      <c r="B273" s="81"/>
      <c r="C273" s="82"/>
      <c r="D273" s="82">
        <f t="shared" ref="D273:J273" si="118">SUM(D265:D272)</f>
        <v>0</v>
      </c>
      <c r="E273" s="82">
        <f t="shared" si="118"/>
        <v>0</v>
      </c>
      <c r="F273" s="82">
        <f t="shared" si="118"/>
        <v>0</v>
      </c>
      <c r="G273" s="82">
        <f t="shared" si="118"/>
        <v>0</v>
      </c>
      <c r="H273" s="82">
        <f t="shared" si="118"/>
        <v>0</v>
      </c>
      <c r="I273" s="82">
        <f t="shared" si="118"/>
        <v>0</v>
      </c>
      <c r="J273" s="82">
        <f t="shared" si="118"/>
        <v>0</v>
      </c>
      <c r="K273" s="73"/>
      <c r="L273" s="73"/>
      <c r="M273" s="73"/>
      <c r="N273" s="73"/>
      <c r="O273" s="73"/>
      <c r="P273" s="73"/>
      <c r="Q273" s="73"/>
      <c r="R273" s="73"/>
      <c r="S273" s="73"/>
      <c r="T273" s="73"/>
      <c r="U273" s="73"/>
      <c r="V273" s="73"/>
      <c r="W273" s="73"/>
    </row>
    <row r="274" spans="1:23" ht="15.75" customHeight="1">
      <c r="A274" s="193" t="s">
        <v>693</v>
      </c>
      <c r="B274" s="193"/>
      <c r="C274" s="196"/>
      <c r="D274" s="82">
        <f t="shared" ref="D274:J274" si="119">D262+D273</f>
        <v>0</v>
      </c>
      <c r="E274" s="82">
        <f t="shared" si="119"/>
        <v>0</v>
      </c>
      <c r="F274" s="82">
        <f t="shared" si="119"/>
        <v>0</v>
      </c>
      <c r="G274" s="82">
        <f t="shared" si="119"/>
        <v>0</v>
      </c>
      <c r="H274" s="82">
        <f t="shared" si="119"/>
        <v>0</v>
      </c>
      <c r="I274" s="82">
        <f t="shared" si="119"/>
        <v>0</v>
      </c>
      <c r="J274" s="82">
        <f t="shared" si="119"/>
        <v>0</v>
      </c>
      <c r="K274" s="73"/>
      <c r="L274" s="73"/>
      <c r="M274" s="73"/>
      <c r="N274" s="73"/>
      <c r="O274" s="73"/>
      <c r="P274" s="73"/>
      <c r="Q274" s="73"/>
      <c r="R274" s="73"/>
      <c r="S274" s="73"/>
      <c r="T274" s="73"/>
      <c r="U274" s="73"/>
      <c r="V274" s="73"/>
      <c r="W274" s="73"/>
    </row>
    <row r="275" spans="1:23" ht="15.75" customHeight="1">
      <c r="A275" s="78"/>
      <c r="B275" s="78"/>
      <c r="C275" s="80"/>
      <c r="D275" s="80"/>
      <c r="E275" s="80"/>
      <c r="F275" s="80"/>
      <c r="G275" s="80"/>
      <c r="H275" s="80"/>
      <c r="I275" s="80"/>
      <c r="J275" s="80"/>
      <c r="K275" s="73"/>
      <c r="L275" s="73"/>
      <c r="M275" s="73"/>
      <c r="N275" s="73"/>
      <c r="O275" s="73"/>
      <c r="P275" s="73"/>
      <c r="Q275" s="73"/>
      <c r="R275" s="73"/>
      <c r="S275" s="73"/>
      <c r="T275" s="73"/>
      <c r="U275" s="73"/>
      <c r="V275" s="73"/>
      <c r="W275" s="73"/>
    </row>
    <row r="276" spans="1:23" ht="15.75" customHeight="1">
      <c r="A276" s="193" t="s">
        <v>407</v>
      </c>
      <c r="B276" s="193"/>
      <c r="C276" s="196"/>
      <c r="D276" s="82">
        <f t="shared" ref="D276:J276" si="120">D191-D274</f>
        <v>0</v>
      </c>
      <c r="E276" s="82">
        <f t="shared" si="120"/>
        <v>0</v>
      </c>
      <c r="F276" s="82">
        <f t="shared" si="120"/>
        <v>0</v>
      </c>
      <c r="G276" s="82">
        <f t="shared" si="120"/>
        <v>0</v>
      </c>
      <c r="H276" s="82">
        <f t="shared" si="120"/>
        <v>0</v>
      </c>
      <c r="I276" s="82">
        <f t="shared" si="120"/>
        <v>0</v>
      </c>
      <c r="J276" s="82">
        <f t="shared" si="120"/>
        <v>0</v>
      </c>
      <c r="K276" s="73"/>
      <c r="L276" s="73"/>
      <c r="M276" s="73"/>
      <c r="N276" s="73"/>
      <c r="O276" s="73"/>
      <c r="P276" s="73"/>
      <c r="Q276" s="73"/>
      <c r="R276" s="73"/>
      <c r="S276" s="73"/>
      <c r="T276" s="73"/>
      <c r="U276" s="73"/>
      <c r="V276" s="73"/>
      <c r="W276" s="73"/>
    </row>
    <row r="277" spans="1:23" ht="15.75" customHeight="1">
      <c r="A277" s="98"/>
      <c r="B277" s="98"/>
      <c r="C277" s="98"/>
      <c r="D277" s="73"/>
      <c r="E277" s="73"/>
      <c r="F277" s="73"/>
      <c r="G277" s="73"/>
      <c r="H277" s="73"/>
      <c r="I277" s="73"/>
      <c r="J277" s="73"/>
      <c r="K277" s="73"/>
      <c r="L277" s="73"/>
      <c r="M277" s="73"/>
      <c r="N277" s="73"/>
      <c r="O277" s="73"/>
      <c r="P277" s="73"/>
      <c r="Q277" s="73"/>
      <c r="R277" s="73"/>
      <c r="S277" s="73"/>
      <c r="T277" s="73"/>
      <c r="U277" s="73"/>
      <c r="V277" s="73"/>
      <c r="W277" s="73"/>
    </row>
    <row r="278" spans="1:23"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row>
    <row r="279" spans="1:23" ht="15.75" customHeight="1">
      <c r="A279" s="396" t="s">
        <v>694</v>
      </c>
      <c r="B279" s="378"/>
      <c r="C279" s="378"/>
      <c r="D279" s="378"/>
      <c r="E279" s="378"/>
      <c r="F279" s="378"/>
      <c r="G279" s="378"/>
      <c r="H279" s="378"/>
      <c r="I279" s="378"/>
      <c r="J279" s="378"/>
    </row>
    <row r="280" spans="1:23" ht="15.75" customHeight="1"/>
    <row r="281" spans="1:23" ht="15.75" customHeight="1">
      <c r="A281" t="s">
        <v>314</v>
      </c>
    </row>
    <row r="282" spans="1:23" ht="15.75" customHeight="1">
      <c r="A282">
        <v>1</v>
      </c>
      <c r="B282" t="s">
        <v>602</v>
      </c>
    </row>
    <row r="283" spans="1:23" ht="15.75" customHeight="1">
      <c r="A283">
        <v>2</v>
      </c>
      <c r="B283" t="s">
        <v>603</v>
      </c>
    </row>
    <row r="284" spans="1:23" ht="15.75" customHeight="1">
      <c r="A284">
        <v>3</v>
      </c>
      <c r="B284" s="73" t="s">
        <v>604</v>
      </c>
    </row>
  </sheetData>
  <mergeCells count="3">
    <mergeCell ref="A122:J122"/>
    <mergeCell ref="A2:I2"/>
    <mergeCell ref="A279:J279"/>
  </mergeCells>
  <pageMargins left="0.7" right="0.7" top="0.75" bottom="0.75" header="0" footer="0"/>
  <pageSetup orientation="portrait" r:id="rId1"/>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topLeftCell="A164" workbookViewId="0">
      <selection activeCell="D175" sqref="D175"/>
    </sheetView>
  </sheetViews>
  <sheetFormatPr defaultColWidth="14.42578125" defaultRowHeight="15" customHeight="1"/>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3" spans="1:8" ht="18.75">
      <c r="A3" s="394" t="s">
        <v>695</v>
      </c>
      <c r="B3" s="378"/>
      <c r="C3" s="378"/>
      <c r="D3" s="378"/>
      <c r="E3" s="378"/>
      <c r="F3" s="378"/>
      <c r="G3" s="378"/>
      <c r="H3" s="378"/>
    </row>
    <row r="4" spans="1:8" ht="18.75">
      <c r="A4" s="394" t="s">
        <v>696</v>
      </c>
      <c r="B4" s="378"/>
      <c r="C4" s="378"/>
      <c r="D4" s="378"/>
      <c r="E4" s="378"/>
      <c r="F4" s="378"/>
      <c r="G4" s="378"/>
      <c r="H4" s="378"/>
    </row>
    <row r="5" spans="1:8">
      <c r="A5" s="73" t="s">
        <v>129</v>
      </c>
      <c r="B5" s="264">
        <v>1</v>
      </c>
      <c r="C5" s="73" t="s">
        <v>607</v>
      </c>
      <c r="D5" s="73"/>
      <c r="E5" s="73"/>
      <c r="F5" s="73"/>
      <c r="G5" s="73"/>
      <c r="H5" s="73"/>
    </row>
    <row r="6" spans="1:8">
      <c r="A6" s="73" t="s">
        <v>575</v>
      </c>
      <c r="B6" s="122">
        <v>8</v>
      </c>
      <c r="C6" s="73"/>
      <c r="D6" s="73"/>
      <c r="E6" s="73"/>
      <c r="F6" s="73"/>
      <c r="G6" s="73"/>
      <c r="H6" s="73"/>
    </row>
    <row r="7" spans="1:8">
      <c r="A7" s="73"/>
      <c r="B7" s="122"/>
      <c r="C7" s="73"/>
      <c r="D7" s="73"/>
      <c r="E7" s="73"/>
      <c r="F7" s="73"/>
      <c r="G7" s="73"/>
      <c r="H7" s="73"/>
    </row>
    <row r="8" spans="1:8">
      <c r="A8" s="73"/>
      <c r="B8" s="122"/>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130" t="s">
        <v>150</v>
      </c>
      <c r="B11" s="131" t="s">
        <v>153</v>
      </c>
      <c r="C11" s="131" t="s">
        <v>154</v>
      </c>
      <c r="D11" s="131" t="s">
        <v>155</v>
      </c>
      <c r="E11" s="131" t="s">
        <v>156</v>
      </c>
      <c r="F11" s="131" t="s">
        <v>157</v>
      </c>
      <c r="G11" s="131" t="s">
        <v>158</v>
      </c>
      <c r="H11" s="131" t="s">
        <v>159</v>
      </c>
    </row>
    <row r="12" spans="1:8">
      <c r="A12" s="78" t="s">
        <v>608</v>
      </c>
      <c r="B12" s="276">
        <f t="shared" ref="B12:H12" si="0">B39/($B$5*$B$6)</f>
        <v>0</v>
      </c>
      <c r="C12" s="276">
        <f t="shared" si="0"/>
        <v>0</v>
      </c>
      <c r="D12" s="276">
        <f t="shared" si="0"/>
        <v>0</v>
      </c>
      <c r="E12" s="276">
        <f t="shared" si="0"/>
        <v>0</v>
      </c>
      <c r="F12" s="276">
        <f t="shared" si="0"/>
        <v>0</v>
      </c>
      <c r="G12" s="276">
        <f t="shared" si="0"/>
        <v>0</v>
      </c>
      <c r="H12" s="276">
        <f t="shared" si="0"/>
        <v>0</v>
      </c>
    </row>
    <row r="13" spans="1:8">
      <c r="A13" s="78" t="str">
        <f>'11.F&amp;V Crop Production details'!A74</f>
        <v>Onion</v>
      </c>
      <c r="B13" s="78">
        <f>'11.F&amp;V Crop Production details'!B74</f>
        <v>0</v>
      </c>
      <c r="C13" s="78">
        <f>'11.F&amp;V Crop Production details'!C74</f>
        <v>0</v>
      </c>
      <c r="D13" s="78">
        <f>'11.F&amp;V Crop Production details'!D74</f>
        <v>0</v>
      </c>
      <c r="E13" s="78">
        <f>'11.F&amp;V Crop Production details'!E74</f>
        <v>0</v>
      </c>
      <c r="F13" s="78">
        <f>'11.F&amp;V Crop Production details'!F74</f>
        <v>0</v>
      </c>
      <c r="G13" s="78">
        <f>'11.F&amp;V Crop Production details'!G74</f>
        <v>0</v>
      </c>
      <c r="H13" s="78">
        <f>'11.F&amp;V Crop Production details'!H74</f>
        <v>0</v>
      </c>
    </row>
    <row r="14" spans="1:8">
      <c r="A14" s="78" t="str">
        <f>'11.F&amp;V Crop Production details'!A75</f>
        <v>Tomato</v>
      </c>
      <c r="B14" s="78">
        <f>'11.F&amp;V Crop Production details'!B75</f>
        <v>0</v>
      </c>
      <c r="C14" s="78">
        <f>'11.F&amp;V Crop Production details'!C75</f>
        <v>0</v>
      </c>
      <c r="D14" s="78">
        <f>'11.F&amp;V Crop Production details'!D75</f>
        <v>0</v>
      </c>
      <c r="E14" s="78">
        <f>'11.F&amp;V Crop Production details'!E75</f>
        <v>0</v>
      </c>
      <c r="F14" s="78">
        <f>'11.F&amp;V Crop Production details'!F75</f>
        <v>0</v>
      </c>
      <c r="G14" s="78">
        <f>'11.F&amp;V Crop Production details'!G75</f>
        <v>0</v>
      </c>
      <c r="H14" s="78">
        <f>'11.F&amp;V Crop Production details'!H75</f>
        <v>0</v>
      </c>
    </row>
    <row r="15" spans="1:8">
      <c r="A15" s="78" t="str">
        <f>'11.F&amp;V Crop Production details'!A76</f>
        <v>Okra</v>
      </c>
      <c r="B15" s="78">
        <f>'11.F&amp;V Crop Production details'!B76</f>
        <v>0</v>
      </c>
      <c r="C15" s="78">
        <f>'11.F&amp;V Crop Production details'!C76</f>
        <v>0</v>
      </c>
      <c r="D15" s="78">
        <f>'11.F&amp;V Crop Production details'!D76</f>
        <v>0</v>
      </c>
      <c r="E15" s="78">
        <f>'11.F&amp;V Crop Production details'!E76</f>
        <v>0</v>
      </c>
      <c r="F15" s="78">
        <f>'11.F&amp;V Crop Production details'!F76</f>
        <v>0</v>
      </c>
      <c r="G15" s="78">
        <f>'11.F&amp;V Crop Production details'!G76</f>
        <v>0</v>
      </c>
      <c r="H15" s="78">
        <f>'11.F&amp;V Crop Production details'!H76</f>
        <v>0</v>
      </c>
    </row>
    <row r="16" spans="1:8">
      <c r="A16" s="78" t="str">
        <f>'11.F&amp;V Crop Production details'!A77</f>
        <v>Chilli</v>
      </c>
      <c r="B16" s="78">
        <f>'11.F&amp;V Crop Production details'!B77</f>
        <v>0</v>
      </c>
      <c r="C16" s="78">
        <f>'11.F&amp;V Crop Production details'!C77</f>
        <v>0</v>
      </c>
      <c r="D16" s="78">
        <f>'11.F&amp;V Crop Production details'!D77</f>
        <v>0</v>
      </c>
      <c r="E16" s="78">
        <f>'11.F&amp;V Crop Production details'!E77</f>
        <v>0</v>
      </c>
      <c r="F16" s="78">
        <f>'11.F&amp;V Crop Production details'!F77</f>
        <v>0</v>
      </c>
      <c r="G16" s="78">
        <f>'11.F&amp;V Crop Production details'!G77</f>
        <v>0</v>
      </c>
      <c r="H16" s="78">
        <f>'11.F&amp;V Crop Production details'!H77</f>
        <v>0</v>
      </c>
    </row>
    <row r="17" spans="1:8">
      <c r="A17" s="78" t="str">
        <f>'11.F&amp;V Crop Production details'!A78</f>
        <v>Potato</v>
      </c>
      <c r="B17" s="78">
        <f>'11.F&amp;V Crop Production details'!B78</f>
        <v>0</v>
      </c>
      <c r="C17" s="78">
        <f>'11.F&amp;V Crop Production details'!C78</f>
        <v>0</v>
      </c>
      <c r="D17" s="78">
        <f>'11.F&amp;V Crop Production details'!D78</f>
        <v>0</v>
      </c>
      <c r="E17" s="78">
        <f>'11.F&amp;V Crop Production details'!E78</f>
        <v>0</v>
      </c>
      <c r="F17" s="78">
        <f>'11.F&amp;V Crop Production details'!F78</f>
        <v>0</v>
      </c>
      <c r="G17" s="78">
        <f>'11.F&amp;V Crop Production details'!G78</f>
        <v>0</v>
      </c>
      <c r="H17" s="78">
        <f>'11.F&amp;V Crop Production details'!H78</f>
        <v>0</v>
      </c>
    </row>
    <row r="18" spans="1:8">
      <c r="A18" s="78">
        <f>'11.F&amp;V Crop Production details'!A79</f>
        <v>0</v>
      </c>
      <c r="B18" s="78">
        <f>'11.F&amp;V Crop Production details'!B79</f>
        <v>0</v>
      </c>
      <c r="C18" s="78">
        <f>'11.F&amp;V Crop Production details'!C79</f>
        <v>0</v>
      </c>
      <c r="D18" s="78">
        <f>'11.F&amp;V Crop Production details'!D79</f>
        <v>0</v>
      </c>
      <c r="E18" s="78">
        <f>'11.F&amp;V Crop Production details'!E79</f>
        <v>0</v>
      </c>
      <c r="F18" s="78">
        <f>'11.F&amp;V Crop Production details'!F79</f>
        <v>0</v>
      </c>
      <c r="G18" s="78">
        <f>'11.F&amp;V Crop Production details'!G79</f>
        <v>0</v>
      </c>
      <c r="H18" s="78">
        <f>'11.F&amp;V Crop Production details'!H79</f>
        <v>0</v>
      </c>
    </row>
    <row r="19" spans="1:8">
      <c r="A19" s="78">
        <f>'11.F&amp;V Crop Production details'!A80</f>
        <v>0</v>
      </c>
      <c r="B19" s="78">
        <f>'11.F&amp;V Crop Production details'!B80</f>
        <v>0</v>
      </c>
      <c r="C19" s="78">
        <f>'11.F&amp;V Crop Production details'!C80</f>
        <v>0</v>
      </c>
      <c r="D19" s="78">
        <f>'11.F&amp;V Crop Production details'!D80</f>
        <v>0</v>
      </c>
      <c r="E19" s="78">
        <f>'11.F&amp;V Crop Production details'!E80</f>
        <v>0</v>
      </c>
      <c r="F19" s="78">
        <f>'11.F&amp;V Crop Production details'!F80</f>
        <v>0</v>
      </c>
      <c r="G19" s="78">
        <f>'11.F&amp;V Crop Production details'!G80</f>
        <v>0</v>
      </c>
      <c r="H19" s="78">
        <f>'11.F&amp;V Crop Production details'!H80</f>
        <v>0</v>
      </c>
    </row>
    <row r="20" spans="1:8">
      <c r="A20" s="78">
        <f>'11.F&amp;V Crop Production details'!A81</f>
        <v>0</v>
      </c>
      <c r="B20" s="78">
        <f>'11.F&amp;V Crop Production details'!B81</f>
        <v>0</v>
      </c>
      <c r="C20" s="78">
        <f>'11.F&amp;V Crop Production details'!C81</f>
        <v>0</v>
      </c>
      <c r="D20" s="78">
        <f>'11.F&amp;V Crop Production details'!D81</f>
        <v>0</v>
      </c>
      <c r="E20" s="78">
        <f>'11.F&amp;V Crop Production details'!E81</f>
        <v>0</v>
      </c>
      <c r="F20" s="78">
        <f>'11.F&amp;V Crop Production details'!F81</f>
        <v>0</v>
      </c>
      <c r="G20" s="78">
        <f>'11.F&amp;V Crop Production details'!G81</f>
        <v>0</v>
      </c>
      <c r="H20" s="78">
        <f>'11.F&amp;V Crop Production details'!H81</f>
        <v>0</v>
      </c>
    </row>
    <row r="21" spans="1:8" ht="15.75" customHeight="1">
      <c r="A21" s="78">
        <f>'11.F&amp;V Crop Production details'!A82</f>
        <v>0</v>
      </c>
      <c r="B21" s="78">
        <f>'11.F&amp;V Crop Production details'!B82</f>
        <v>0</v>
      </c>
      <c r="C21" s="78">
        <f>'11.F&amp;V Crop Production details'!C82</f>
        <v>0</v>
      </c>
      <c r="D21" s="78">
        <f>'11.F&amp;V Crop Production details'!D82</f>
        <v>0</v>
      </c>
      <c r="E21" s="78">
        <f>'11.F&amp;V Crop Production details'!E82</f>
        <v>0</v>
      </c>
      <c r="F21" s="78">
        <f>'11.F&amp;V Crop Production details'!F82</f>
        <v>0</v>
      </c>
      <c r="G21" s="78">
        <f>'11.F&amp;V Crop Production details'!G82</f>
        <v>0</v>
      </c>
      <c r="H21" s="78">
        <f>'11.F&amp;V Crop Production details'!H82</f>
        <v>0</v>
      </c>
    </row>
    <row r="22" spans="1:8" ht="15.75" customHeight="1">
      <c r="A22" s="78" t="str">
        <f>'11.F&amp;V Crop Production details'!A83</f>
        <v>Onion</v>
      </c>
      <c r="B22" s="78">
        <f>'11.F&amp;V Crop Production details'!B83</f>
        <v>0</v>
      </c>
      <c r="C22" s="78">
        <f>'11.F&amp;V Crop Production details'!C83</f>
        <v>0</v>
      </c>
      <c r="D22" s="78">
        <f>'11.F&amp;V Crop Production details'!D83</f>
        <v>0</v>
      </c>
      <c r="E22" s="78">
        <f>'11.F&amp;V Crop Production details'!E83</f>
        <v>0</v>
      </c>
      <c r="F22" s="78">
        <f>'11.F&amp;V Crop Production details'!F83</f>
        <v>0</v>
      </c>
      <c r="G22" s="78">
        <f>'11.F&amp;V Crop Production details'!G83</f>
        <v>0</v>
      </c>
      <c r="H22" s="78">
        <f>'11.F&amp;V Crop Production details'!H83</f>
        <v>0</v>
      </c>
    </row>
    <row r="23" spans="1:8" ht="15.75" customHeight="1">
      <c r="A23" s="78" t="str">
        <f>'11.F&amp;V Crop Production details'!A84</f>
        <v>Tomato</v>
      </c>
      <c r="B23" s="78">
        <f>'11.F&amp;V Crop Production details'!B84</f>
        <v>0</v>
      </c>
      <c r="C23" s="78">
        <f>'11.F&amp;V Crop Production details'!C84</f>
        <v>0</v>
      </c>
      <c r="D23" s="78">
        <f>'11.F&amp;V Crop Production details'!D84</f>
        <v>0</v>
      </c>
      <c r="E23" s="78">
        <f>'11.F&amp;V Crop Production details'!E84</f>
        <v>0</v>
      </c>
      <c r="F23" s="78">
        <f>'11.F&amp;V Crop Production details'!F84</f>
        <v>0</v>
      </c>
      <c r="G23" s="78">
        <f>'11.F&amp;V Crop Production details'!G84</f>
        <v>0</v>
      </c>
      <c r="H23" s="78">
        <f>'11.F&amp;V Crop Production details'!H84</f>
        <v>0</v>
      </c>
    </row>
    <row r="24" spans="1:8" ht="15.75" customHeight="1">
      <c r="A24" s="78" t="str">
        <f>'11.F&amp;V Crop Production details'!A85</f>
        <v>Okra</v>
      </c>
      <c r="B24" s="78">
        <f>'11.F&amp;V Crop Production details'!B85</f>
        <v>0</v>
      </c>
      <c r="C24" s="78">
        <f>'11.F&amp;V Crop Production details'!C85</f>
        <v>0</v>
      </c>
      <c r="D24" s="78">
        <f>'11.F&amp;V Crop Production details'!D85</f>
        <v>0</v>
      </c>
      <c r="E24" s="78">
        <f>'11.F&amp;V Crop Production details'!E85</f>
        <v>0</v>
      </c>
      <c r="F24" s="78">
        <f>'11.F&amp;V Crop Production details'!F85</f>
        <v>0</v>
      </c>
      <c r="G24" s="78">
        <f>'11.F&amp;V Crop Production details'!G85</f>
        <v>0</v>
      </c>
      <c r="H24" s="78">
        <f>'11.F&amp;V Crop Production details'!H85</f>
        <v>0</v>
      </c>
    </row>
    <row r="25" spans="1:8" ht="15.75" customHeight="1">
      <c r="A25" s="78" t="str">
        <f>'11.F&amp;V Crop Production details'!A86</f>
        <v>Chilli</v>
      </c>
      <c r="B25" s="78">
        <f>'11.F&amp;V Crop Production details'!B86</f>
        <v>0</v>
      </c>
      <c r="C25" s="78">
        <f>'11.F&amp;V Crop Production details'!C86</f>
        <v>0</v>
      </c>
      <c r="D25" s="78">
        <f>'11.F&amp;V Crop Production details'!D86</f>
        <v>0</v>
      </c>
      <c r="E25" s="78">
        <f>'11.F&amp;V Crop Production details'!E86</f>
        <v>0</v>
      </c>
      <c r="F25" s="78">
        <f>'11.F&amp;V Crop Production details'!F86</f>
        <v>0</v>
      </c>
      <c r="G25" s="78">
        <f>'11.F&amp;V Crop Production details'!G86</f>
        <v>0</v>
      </c>
      <c r="H25" s="78">
        <f>'11.F&amp;V Crop Production details'!H86</f>
        <v>0</v>
      </c>
    </row>
    <row r="26" spans="1:8" ht="15.75" customHeight="1">
      <c r="A26" s="78" t="str">
        <f>'11.F&amp;V Crop Production details'!A87</f>
        <v>Brinjal</v>
      </c>
      <c r="B26" s="78">
        <f>'11.F&amp;V Crop Production details'!B87</f>
        <v>0</v>
      </c>
      <c r="C26" s="78">
        <f>'11.F&amp;V Crop Production details'!C87</f>
        <v>0</v>
      </c>
      <c r="D26" s="78">
        <f>'11.F&amp;V Crop Production details'!D87</f>
        <v>0</v>
      </c>
      <c r="E26" s="78">
        <f>'11.F&amp;V Crop Production details'!E87</f>
        <v>0</v>
      </c>
      <c r="F26" s="78">
        <f>'11.F&amp;V Crop Production details'!F87</f>
        <v>0</v>
      </c>
      <c r="G26" s="78">
        <f>'11.F&amp;V Crop Production details'!G87</f>
        <v>0</v>
      </c>
      <c r="H26" s="78">
        <f>'11.F&amp;V Crop Production details'!H87</f>
        <v>0</v>
      </c>
    </row>
    <row r="27" spans="1:8" ht="15.75" customHeight="1">
      <c r="A27" s="78">
        <f>'11.F&amp;V Crop Production details'!A88</f>
        <v>0</v>
      </c>
      <c r="B27" s="78">
        <f>'11.F&amp;V Crop Production details'!B88</f>
        <v>0</v>
      </c>
      <c r="C27" s="78">
        <f>'11.F&amp;V Crop Production details'!C88</f>
        <v>0</v>
      </c>
      <c r="D27" s="78">
        <f>'11.F&amp;V Crop Production details'!D88</f>
        <v>0</v>
      </c>
      <c r="E27" s="78">
        <f>'11.F&amp;V Crop Production details'!E88</f>
        <v>0</v>
      </c>
      <c r="F27" s="78">
        <f>'11.F&amp;V Crop Production details'!F88</f>
        <v>0</v>
      </c>
      <c r="G27" s="78">
        <f>'11.F&amp;V Crop Production details'!G88</f>
        <v>0</v>
      </c>
      <c r="H27" s="78">
        <f>'11.F&amp;V Crop Production details'!H88</f>
        <v>0</v>
      </c>
    </row>
    <row r="28" spans="1:8" ht="15.75" customHeight="1">
      <c r="A28" s="78">
        <f>'11.F&amp;V Crop Production details'!A89</f>
        <v>0</v>
      </c>
      <c r="B28" s="78">
        <f>'11.F&amp;V Crop Production details'!B89</f>
        <v>0</v>
      </c>
      <c r="C28" s="78">
        <f>'11.F&amp;V Crop Production details'!C89</f>
        <v>0</v>
      </c>
      <c r="D28" s="78">
        <f>'11.F&amp;V Crop Production details'!D89</f>
        <v>0</v>
      </c>
      <c r="E28" s="78">
        <f>'11.F&amp;V Crop Production details'!E89</f>
        <v>0</v>
      </c>
      <c r="F28" s="78">
        <f>'11.F&amp;V Crop Production details'!F89</f>
        <v>0</v>
      </c>
      <c r="G28" s="78">
        <f>'11.F&amp;V Crop Production details'!G89</f>
        <v>0</v>
      </c>
      <c r="H28" s="78">
        <f>'11.F&amp;V Crop Production details'!H89</f>
        <v>0</v>
      </c>
    </row>
    <row r="29" spans="1:8" ht="15.75" customHeight="1">
      <c r="A29" s="78">
        <f>'11.F&amp;V Crop Production details'!A90</f>
        <v>0</v>
      </c>
      <c r="B29" s="78">
        <f>'11.F&amp;V Crop Production details'!B90</f>
        <v>0</v>
      </c>
      <c r="C29" s="78">
        <f>'11.F&amp;V Crop Production details'!C90</f>
        <v>0</v>
      </c>
      <c r="D29" s="78">
        <f>'11.F&amp;V Crop Production details'!D90</f>
        <v>0</v>
      </c>
      <c r="E29" s="78">
        <f>'11.F&amp;V Crop Production details'!E90</f>
        <v>0</v>
      </c>
      <c r="F29" s="78">
        <f>'11.F&amp;V Crop Production details'!F90</f>
        <v>0</v>
      </c>
      <c r="G29" s="78">
        <f>'11.F&amp;V Crop Production details'!G90</f>
        <v>0</v>
      </c>
      <c r="H29" s="78">
        <f>'11.F&amp;V Crop Production details'!H90</f>
        <v>0</v>
      </c>
    </row>
    <row r="30" spans="1:8" ht="15.75" customHeight="1">
      <c r="A30" s="78">
        <f>'11.F&amp;V Crop Production details'!A91</f>
        <v>0</v>
      </c>
      <c r="B30" s="78">
        <f>'11.F&amp;V Crop Production details'!B91</f>
        <v>0</v>
      </c>
      <c r="C30" s="78">
        <f>'11.F&amp;V Crop Production details'!C91</f>
        <v>0</v>
      </c>
      <c r="D30" s="78">
        <f>'11.F&amp;V Crop Production details'!D91</f>
        <v>0</v>
      </c>
      <c r="E30" s="78">
        <f>'11.F&amp;V Crop Production details'!E91</f>
        <v>0</v>
      </c>
      <c r="F30" s="78">
        <f>'11.F&amp;V Crop Production details'!F91</f>
        <v>0</v>
      </c>
      <c r="G30" s="78">
        <f>'11.F&amp;V Crop Production details'!G91</f>
        <v>0</v>
      </c>
      <c r="H30" s="78">
        <f>'11.F&amp;V Crop Production details'!H91</f>
        <v>0</v>
      </c>
    </row>
    <row r="31" spans="1:8" ht="15.75" customHeight="1">
      <c r="A31" s="78">
        <f>'11.F&amp;V Crop Production details'!A92</f>
        <v>0</v>
      </c>
      <c r="B31" s="78">
        <f>'11.F&amp;V Crop Production details'!B92</f>
        <v>0</v>
      </c>
      <c r="C31" s="78">
        <f>'11.F&amp;V Crop Production details'!C92</f>
        <v>0</v>
      </c>
      <c r="D31" s="78">
        <f>'11.F&amp;V Crop Production details'!D92</f>
        <v>0</v>
      </c>
      <c r="E31" s="78">
        <f>'11.F&amp;V Crop Production details'!E92</f>
        <v>0</v>
      </c>
      <c r="F31" s="78">
        <f>'11.F&amp;V Crop Production details'!F92</f>
        <v>0</v>
      </c>
      <c r="G31" s="78">
        <f>'11.F&amp;V Crop Production details'!G92</f>
        <v>0</v>
      </c>
      <c r="H31" s="78">
        <f>'11.F&amp;V Crop Production details'!H92</f>
        <v>0</v>
      </c>
    </row>
    <row r="32" spans="1:8" ht="15.75" customHeight="1">
      <c r="A32" s="78">
        <f>'11.F&amp;V Crop Production details'!A93</f>
        <v>0</v>
      </c>
      <c r="B32" s="78">
        <f>'11.F&amp;V Crop Production details'!B93</f>
        <v>0</v>
      </c>
      <c r="C32" s="78">
        <f>'11.F&amp;V Crop Production details'!C93</f>
        <v>0</v>
      </c>
      <c r="D32" s="78">
        <f>'11.F&amp;V Crop Production details'!D93</f>
        <v>0</v>
      </c>
      <c r="E32" s="78">
        <f>'11.F&amp;V Crop Production details'!E93</f>
        <v>0</v>
      </c>
      <c r="F32" s="78">
        <f>'11.F&amp;V Crop Production details'!F93</f>
        <v>0</v>
      </c>
      <c r="G32" s="78">
        <f>'11.F&amp;V Crop Production details'!G93</f>
        <v>0</v>
      </c>
      <c r="H32" s="78">
        <f>'11.F&amp;V Crop Production details'!H93</f>
        <v>0</v>
      </c>
    </row>
    <row r="33" spans="1:8" ht="15.75" customHeight="1">
      <c r="A33" s="78">
        <f>'11.F&amp;V Crop Production details'!A94</f>
        <v>0</v>
      </c>
      <c r="B33" s="78">
        <f>'11.F&amp;V Crop Production details'!B94</f>
        <v>0</v>
      </c>
      <c r="C33" s="78">
        <f>'11.F&amp;V Crop Production details'!C94</f>
        <v>0</v>
      </c>
      <c r="D33" s="78">
        <f>'11.F&amp;V Crop Production details'!D94</f>
        <v>0</v>
      </c>
      <c r="E33" s="78">
        <f>'11.F&amp;V Crop Production details'!E94</f>
        <v>0</v>
      </c>
      <c r="F33" s="78">
        <f>'11.F&amp;V Crop Production details'!F94</f>
        <v>0</v>
      </c>
      <c r="G33" s="78">
        <f>'11.F&amp;V Crop Production details'!G94</f>
        <v>0</v>
      </c>
      <c r="H33" s="78">
        <f>'11.F&amp;V Crop Production details'!H94</f>
        <v>0</v>
      </c>
    </row>
    <row r="34" spans="1:8" ht="15.75" customHeight="1">
      <c r="A34" s="78" t="str">
        <f>'11.F&amp;V Crop Production details'!A95</f>
        <v>Pomegranate</v>
      </c>
      <c r="B34" s="78">
        <f>'11.F&amp;V Crop Production details'!B95</f>
        <v>0</v>
      </c>
      <c r="C34" s="78">
        <f>'11.F&amp;V Crop Production details'!C95</f>
        <v>0</v>
      </c>
      <c r="D34" s="78">
        <f>'11.F&amp;V Crop Production details'!D95</f>
        <v>0</v>
      </c>
      <c r="E34" s="78">
        <f>'11.F&amp;V Crop Production details'!E95</f>
        <v>0</v>
      </c>
      <c r="F34" s="78">
        <f>'11.F&amp;V Crop Production details'!F95</f>
        <v>0</v>
      </c>
      <c r="G34" s="78">
        <f>'11.F&amp;V Crop Production details'!G95</f>
        <v>0</v>
      </c>
      <c r="H34" s="78">
        <f>'11.F&amp;V Crop Production details'!H95</f>
        <v>0</v>
      </c>
    </row>
    <row r="35" spans="1:8" ht="15.75" customHeight="1">
      <c r="A35" s="78" t="str">
        <f>'11.F&amp;V Crop Production details'!A96</f>
        <v>Custard Apple</v>
      </c>
      <c r="B35" s="78">
        <f>'11.F&amp;V Crop Production details'!B96</f>
        <v>0</v>
      </c>
      <c r="C35" s="78">
        <f>'11.F&amp;V Crop Production details'!C96</f>
        <v>0</v>
      </c>
      <c r="D35" s="78">
        <f>'11.F&amp;V Crop Production details'!D96</f>
        <v>0</v>
      </c>
      <c r="E35" s="78">
        <f>'11.F&amp;V Crop Production details'!E96</f>
        <v>0</v>
      </c>
      <c r="F35" s="78">
        <f>'11.F&amp;V Crop Production details'!F96</f>
        <v>0</v>
      </c>
      <c r="G35" s="78">
        <f>'11.F&amp;V Crop Production details'!G96</f>
        <v>0</v>
      </c>
      <c r="H35" s="78">
        <f>'11.F&amp;V Crop Production details'!H96</f>
        <v>0</v>
      </c>
    </row>
    <row r="36" spans="1:8" ht="15.75" customHeight="1">
      <c r="A36" s="78" t="str">
        <f>'11.F&amp;V Crop Production details'!A97</f>
        <v>Guava</v>
      </c>
      <c r="B36" s="78">
        <f>'11.F&amp;V Crop Production details'!B97</f>
        <v>0</v>
      </c>
      <c r="C36" s="78">
        <f>'11.F&amp;V Crop Production details'!C97</f>
        <v>0</v>
      </c>
      <c r="D36" s="78">
        <f>'11.F&amp;V Crop Production details'!D97</f>
        <v>0</v>
      </c>
      <c r="E36" s="78">
        <f>'11.F&amp;V Crop Production details'!E97</f>
        <v>0</v>
      </c>
      <c r="F36" s="78">
        <f>'11.F&amp;V Crop Production details'!F97</f>
        <v>0</v>
      </c>
      <c r="G36" s="78">
        <f>'11.F&amp;V Crop Production details'!G97</f>
        <v>0</v>
      </c>
      <c r="H36" s="78">
        <f>'11.F&amp;V Crop Production details'!H97</f>
        <v>0</v>
      </c>
    </row>
    <row r="37" spans="1:8" ht="15.75" customHeight="1">
      <c r="A37" s="78" t="str">
        <f>'11.F&amp;V Crop Production details'!A98</f>
        <v>Citrus</v>
      </c>
      <c r="B37" s="78">
        <f>'11.F&amp;V Crop Production details'!B98</f>
        <v>0</v>
      </c>
      <c r="C37" s="78">
        <f>'11.F&amp;V Crop Production details'!C98</f>
        <v>0</v>
      </c>
      <c r="D37" s="78">
        <f>'11.F&amp;V Crop Production details'!D98</f>
        <v>0</v>
      </c>
      <c r="E37" s="78">
        <f>'11.F&amp;V Crop Production details'!E98</f>
        <v>0</v>
      </c>
      <c r="F37" s="78">
        <f>'11.F&amp;V Crop Production details'!F98</f>
        <v>0</v>
      </c>
      <c r="G37" s="78">
        <f>'11.F&amp;V Crop Production details'!G98</f>
        <v>0</v>
      </c>
      <c r="H37" s="78">
        <f>'11.F&amp;V Crop Production details'!H98</f>
        <v>0</v>
      </c>
    </row>
    <row r="38" spans="1:8" ht="15.75" customHeight="1">
      <c r="A38" s="78"/>
      <c r="B38" s="78"/>
      <c r="C38" s="78"/>
      <c r="D38" s="78"/>
      <c r="E38" s="78"/>
      <c r="F38" s="78"/>
      <c r="G38" s="78"/>
      <c r="H38" s="78"/>
    </row>
    <row r="39" spans="1:8" ht="15.75" customHeight="1">
      <c r="A39" s="78" t="s">
        <v>609</v>
      </c>
      <c r="B39" s="78">
        <f t="shared" ref="B39:H39" si="1">SUM(B13:B37)</f>
        <v>0</v>
      </c>
      <c r="C39" s="78">
        <f t="shared" si="1"/>
        <v>0</v>
      </c>
      <c r="D39" s="78">
        <f t="shared" si="1"/>
        <v>0</v>
      </c>
      <c r="E39" s="78">
        <f t="shared" si="1"/>
        <v>0</v>
      </c>
      <c r="F39" s="78">
        <f t="shared" si="1"/>
        <v>0</v>
      </c>
      <c r="G39" s="78">
        <f t="shared" si="1"/>
        <v>0</v>
      </c>
      <c r="H39" s="78">
        <f t="shared" si="1"/>
        <v>0</v>
      </c>
    </row>
    <row r="40" spans="1:8" ht="15.75" customHeight="1">
      <c r="A40" s="277" t="s">
        <v>584</v>
      </c>
      <c r="B40" s="141">
        <v>0</v>
      </c>
      <c r="C40" s="141">
        <f t="shared" ref="C40:H40" si="2">B40</f>
        <v>0</v>
      </c>
      <c r="D40" s="141">
        <f t="shared" si="2"/>
        <v>0</v>
      </c>
      <c r="E40" s="141">
        <f t="shared" si="2"/>
        <v>0</v>
      </c>
      <c r="F40" s="141">
        <f t="shared" si="2"/>
        <v>0</v>
      </c>
      <c r="G40" s="141">
        <f t="shared" si="2"/>
        <v>0</v>
      </c>
      <c r="H40" s="141">
        <f t="shared" si="2"/>
        <v>0</v>
      </c>
    </row>
    <row r="41" spans="1:8" ht="15.75" customHeight="1">
      <c r="A41" s="78" t="s">
        <v>610</v>
      </c>
      <c r="B41" s="133">
        <f t="shared" ref="B41:H41" si="3">1-B40</f>
        <v>1</v>
      </c>
      <c r="C41" s="133">
        <f t="shared" si="3"/>
        <v>1</v>
      </c>
      <c r="D41" s="133">
        <f t="shared" si="3"/>
        <v>1</v>
      </c>
      <c r="E41" s="133">
        <f t="shared" si="3"/>
        <v>1</v>
      </c>
      <c r="F41" s="133">
        <f t="shared" si="3"/>
        <v>1</v>
      </c>
      <c r="G41" s="133">
        <f t="shared" si="3"/>
        <v>1</v>
      </c>
      <c r="H41" s="133">
        <f t="shared" si="3"/>
        <v>1</v>
      </c>
    </row>
    <row r="42" spans="1:8" ht="15.75" customHeight="1">
      <c r="A42" s="81" t="s">
        <v>584</v>
      </c>
      <c r="B42" s="273">
        <f t="shared" ref="B42:H42" si="4">B39*B40</f>
        <v>0</v>
      </c>
      <c r="C42" s="273">
        <f t="shared" si="4"/>
        <v>0</v>
      </c>
      <c r="D42" s="273">
        <f t="shared" si="4"/>
        <v>0</v>
      </c>
      <c r="E42" s="273">
        <f t="shared" si="4"/>
        <v>0</v>
      </c>
      <c r="F42" s="273">
        <f t="shared" si="4"/>
        <v>0</v>
      </c>
      <c r="G42" s="273">
        <f t="shared" si="4"/>
        <v>0</v>
      </c>
      <c r="H42" s="273">
        <f t="shared" si="4"/>
        <v>0</v>
      </c>
    </row>
    <row r="43" spans="1:8" ht="15.75" customHeight="1">
      <c r="A43" s="81" t="s">
        <v>585</v>
      </c>
      <c r="B43" s="82"/>
      <c r="C43" s="82"/>
      <c r="D43" s="82"/>
      <c r="E43" s="82"/>
      <c r="F43" s="82"/>
      <c r="G43" s="82"/>
      <c r="H43" s="82"/>
    </row>
    <row r="44" spans="1:8" ht="15.75" customHeight="1">
      <c r="A44" s="78" t="str">
        <f t="shared" ref="A44:A61" si="5">A13</f>
        <v>Onion</v>
      </c>
      <c r="B44" s="80">
        <f t="shared" ref="B44:B61" si="6">B13*$B$41</f>
        <v>0</v>
      </c>
      <c r="C44" s="80">
        <f t="shared" ref="C44:C61" si="7">C13*$C$41</f>
        <v>0</v>
      </c>
      <c r="D44" s="80">
        <f t="shared" ref="D44:D61" si="8">D13*$D$41</f>
        <v>0</v>
      </c>
      <c r="E44" s="80">
        <f t="shared" ref="E44:E61" si="9">E13*$E$41</f>
        <v>0</v>
      </c>
      <c r="F44" s="80">
        <f t="shared" ref="F44:F61" si="10">F13*$F$41</f>
        <v>0</v>
      </c>
      <c r="G44" s="80">
        <f t="shared" ref="G44:G61" si="11">G13*$G$41</f>
        <v>0</v>
      </c>
      <c r="H44" s="80">
        <f t="shared" ref="H44:H61" si="12">H13*$H$41</f>
        <v>0</v>
      </c>
    </row>
    <row r="45" spans="1:8" ht="15.75" customHeight="1">
      <c r="A45" s="78" t="str">
        <f t="shared" si="5"/>
        <v>Tomato</v>
      </c>
      <c r="B45" s="80">
        <f t="shared" si="6"/>
        <v>0</v>
      </c>
      <c r="C45" s="80">
        <f t="shared" si="7"/>
        <v>0</v>
      </c>
      <c r="D45" s="80">
        <f t="shared" si="8"/>
        <v>0</v>
      </c>
      <c r="E45" s="80">
        <f t="shared" si="9"/>
        <v>0</v>
      </c>
      <c r="F45" s="80">
        <f t="shared" si="10"/>
        <v>0</v>
      </c>
      <c r="G45" s="80">
        <f t="shared" si="11"/>
        <v>0</v>
      </c>
      <c r="H45" s="80">
        <f t="shared" si="12"/>
        <v>0</v>
      </c>
    </row>
    <row r="46" spans="1:8" ht="15.75" customHeight="1">
      <c r="A46" s="78" t="str">
        <f t="shared" si="5"/>
        <v>Okra</v>
      </c>
      <c r="B46" s="80">
        <f t="shared" si="6"/>
        <v>0</v>
      </c>
      <c r="C46" s="80">
        <f t="shared" si="7"/>
        <v>0</v>
      </c>
      <c r="D46" s="80">
        <f t="shared" si="8"/>
        <v>0</v>
      </c>
      <c r="E46" s="80">
        <f t="shared" si="9"/>
        <v>0</v>
      </c>
      <c r="F46" s="80">
        <f t="shared" si="10"/>
        <v>0</v>
      </c>
      <c r="G46" s="80">
        <f t="shared" si="11"/>
        <v>0</v>
      </c>
      <c r="H46" s="80">
        <f t="shared" si="12"/>
        <v>0</v>
      </c>
    </row>
    <row r="47" spans="1:8" ht="15.75" customHeight="1">
      <c r="A47" s="78" t="str">
        <f t="shared" si="5"/>
        <v>Chilli</v>
      </c>
      <c r="B47" s="80">
        <f t="shared" si="6"/>
        <v>0</v>
      </c>
      <c r="C47" s="80">
        <f t="shared" si="7"/>
        <v>0</v>
      </c>
      <c r="D47" s="80">
        <f t="shared" si="8"/>
        <v>0</v>
      </c>
      <c r="E47" s="80">
        <f t="shared" si="9"/>
        <v>0</v>
      </c>
      <c r="F47" s="80">
        <f t="shared" si="10"/>
        <v>0</v>
      </c>
      <c r="G47" s="80">
        <f t="shared" si="11"/>
        <v>0</v>
      </c>
      <c r="H47" s="80">
        <f t="shared" si="12"/>
        <v>0</v>
      </c>
    </row>
    <row r="48" spans="1:8" ht="15.75" customHeight="1">
      <c r="A48" s="78" t="str">
        <f t="shared" si="5"/>
        <v>Potato</v>
      </c>
      <c r="B48" s="80">
        <f t="shared" si="6"/>
        <v>0</v>
      </c>
      <c r="C48" s="80">
        <f t="shared" si="7"/>
        <v>0</v>
      </c>
      <c r="D48" s="80">
        <f t="shared" si="8"/>
        <v>0</v>
      </c>
      <c r="E48" s="80">
        <f t="shared" si="9"/>
        <v>0</v>
      </c>
      <c r="F48" s="80">
        <f t="shared" si="10"/>
        <v>0</v>
      </c>
      <c r="G48" s="80">
        <f t="shared" si="11"/>
        <v>0</v>
      </c>
      <c r="H48" s="80">
        <f t="shared" si="12"/>
        <v>0</v>
      </c>
    </row>
    <row r="49" spans="1:8" ht="15.75" customHeight="1">
      <c r="A49" s="78">
        <f t="shared" si="5"/>
        <v>0</v>
      </c>
      <c r="B49" s="80">
        <f t="shared" si="6"/>
        <v>0</v>
      </c>
      <c r="C49" s="80">
        <f t="shared" si="7"/>
        <v>0</v>
      </c>
      <c r="D49" s="80">
        <f t="shared" si="8"/>
        <v>0</v>
      </c>
      <c r="E49" s="80">
        <f t="shared" si="9"/>
        <v>0</v>
      </c>
      <c r="F49" s="80">
        <f t="shared" si="10"/>
        <v>0</v>
      </c>
      <c r="G49" s="80">
        <f t="shared" si="11"/>
        <v>0</v>
      </c>
      <c r="H49" s="80">
        <f t="shared" si="12"/>
        <v>0</v>
      </c>
    </row>
    <row r="50" spans="1:8" ht="15.75" customHeight="1">
      <c r="A50" s="78">
        <f t="shared" si="5"/>
        <v>0</v>
      </c>
      <c r="B50" s="80">
        <f t="shared" si="6"/>
        <v>0</v>
      </c>
      <c r="C50" s="80">
        <f t="shared" si="7"/>
        <v>0</v>
      </c>
      <c r="D50" s="80">
        <f t="shared" si="8"/>
        <v>0</v>
      </c>
      <c r="E50" s="80">
        <f t="shared" si="9"/>
        <v>0</v>
      </c>
      <c r="F50" s="80">
        <f t="shared" si="10"/>
        <v>0</v>
      </c>
      <c r="G50" s="80">
        <f t="shared" si="11"/>
        <v>0</v>
      </c>
      <c r="H50" s="80">
        <f t="shared" si="12"/>
        <v>0</v>
      </c>
    </row>
    <row r="51" spans="1:8" ht="15.75" customHeight="1">
      <c r="A51" s="78">
        <f t="shared" si="5"/>
        <v>0</v>
      </c>
      <c r="B51" s="80">
        <f t="shared" si="6"/>
        <v>0</v>
      </c>
      <c r="C51" s="80">
        <f t="shared" si="7"/>
        <v>0</v>
      </c>
      <c r="D51" s="80">
        <f t="shared" si="8"/>
        <v>0</v>
      </c>
      <c r="E51" s="80">
        <f t="shared" si="9"/>
        <v>0</v>
      </c>
      <c r="F51" s="80">
        <f t="shared" si="10"/>
        <v>0</v>
      </c>
      <c r="G51" s="80">
        <f t="shared" si="11"/>
        <v>0</v>
      </c>
      <c r="H51" s="80">
        <f t="shared" si="12"/>
        <v>0</v>
      </c>
    </row>
    <row r="52" spans="1:8" ht="15.75" customHeight="1">
      <c r="A52" s="78">
        <f t="shared" si="5"/>
        <v>0</v>
      </c>
      <c r="B52" s="80">
        <f t="shared" si="6"/>
        <v>0</v>
      </c>
      <c r="C52" s="80">
        <f t="shared" si="7"/>
        <v>0</v>
      </c>
      <c r="D52" s="80">
        <f t="shared" si="8"/>
        <v>0</v>
      </c>
      <c r="E52" s="80">
        <f t="shared" si="9"/>
        <v>0</v>
      </c>
      <c r="F52" s="80">
        <f t="shared" si="10"/>
        <v>0</v>
      </c>
      <c r="G52" s="80">
        <f t="shared" si="11"/>
        <v>0</v>
      </c>
      <c r="H52" s="80">
        <f t="shared" si="12"/>
        <v>0</v>
      </c>
    </row>
    <row r="53" spans="1:8" ht="15.75" customHeight="1">
      <c r="A53" s="78" t="str">
        <f t="shared" si="5"/>
        <v>Onion</v>
      </c>
      <c r="B53" s="80">
        <f t="shared" si="6"/>
        <v>0</v>
      </c>
      <c r="C53" s="80">
        <f t="shared" si="7"/>
        <v>0</v>
      </c>
      <c r="D53" s="80">
        <f t="shared" si="8"/>
        <v>0</v>
      </c>
      <c r="E53" s="80">
        <f t="shared" si="9"/>
        <v>0</v>
      </c>
      <c r="F53" s="80">
        <f t="shared" si="10"/>
        <v>0</v>
      </c>
      <c r="G53" s="80">
        <f t="shared" si="11"/>
        <v>0</v>
      </c>
      <c r="H53" s="80">
        <f t="shared" si="12"/>
        <v>0</v>
      </c>
    </row>
    <row r="54" spans="1:8" ht="15.75" customHeight="1">
      <c r="A54" s="78" t="str">
        <f t="shared" si="5"/>
        <v>Tomato</v>
      </c>
      <c r="B54" s="80">
        <f t="shared" si="6"/>
        <v>0</v>
      </c>
      <c r="C54" s="80">
        <f t="shared" si="7"/>
        <v>0</v>
      </c>
      <c r="D54" s="80">
        <f t="shared" si="8"/>
        <v>0</v>
      </c>
      <c r="E54" s="80">
        <f t="shared" si="9"/>
        <v>0</v>
      </c>
      <c r="F54" s="80">
        <f t="shared" si="10"/>
        <v>0</v>
      </c>
      <c r="G54" s="80">
        <f t="shared" si="11"/>
        <v>0</v>
      </c>
      <c r="H54" s="80">
        <f t="shared" si="12"/>
        <v>0</v>
      </c>
    </row>
    <row r="55" spans="1:8" ht="15.75" customHeight="1">
      <c r="A55" s="78" t="str">
        <f t="shared" si="5"/>
        <v>Okra</v>
      </c>
      <c r="B55" s="80">
        <f t="shared" si="6"/>
        <v>0</v>
      </c>
      <c r="C55" s="80">
        <f t="shared" si="7"/>
        <v>0</v>
      </c>
      <c r="D55" s="80">
        <f t="shared" si="8"/>
        <v>0</v>
      </c>
      <c r="E55" s="80">
        <f t="shared" si="9"/>
        <v>0</v>
      </c>
      <c r="F55" s="80">
        <f t="shared" si="10"/>
        <v>0</v>
      </c>
      <c r="G55" s="80">
        <f t="shared" si="11"/>
        <v>0</v>
      </c>
      <c r="H55" s="80">
        <f t="shared" si="12"/>
        <v>0</v>
      </c>
    </row>
    <row r="56" spans="1:8" ht="15.75" customHeight="1">
      <c r="A56" s="78" t="str">
        <f t="shared" si="5"/>
        <v>Chilli</v>
      </c>
      <c r="B56" s="80">
        <f t="shared" si="6"/>
        <v>0</v>
      </c>
      <c r="C56" s="80">
        <f t="shared" si="7"/>
        <v>0</v>
      </c>
      <c r="D56" s="80">
        <f t="shared" si="8"/>
        <v>0</v>
      </c>
      <c r="E56" s="80">
        <f t="shared" si="9"/>
        <v>0</v>
      </c>
      <c r="F56" s="80">
        <f t="shared" si="10"/>
        <v>0</v>
      </c>
      <c r="G56" s="80">
        <f t="shared" si="11"/>
        <v>0</v>
      </c>
      <c r="H56" s="80">
        <f t="shared" si="12"/>
        <v>0</v>
      </c>
    </row>
    <row r="57" spans="1:8" ht="15.75" customHeight="1">
      <c r="A57" s="78" t="str">
        <f t="shared" si="5"/>
        <v>Brinjal</v>
      </c>
      <c r="B57" s="80">
        <f t="shared" si="6"/>
        <v>0</v>
      </c>
      <c r="C57" s="80">
        <f t="shared" si="7"/>
        <v>0</v>
      </c>
      <c r="D57" s="80">
        <f t="shared" si="8"/>
        <v>0</v>
      </c>
      <c r="E57" s="80">
        <f t="shared" si="9"/>
        <v>0</v>
      </c>
      <c r="F57" s="80">
        <f t="shared" si="10"/>
        <v>0</v>
      </c>
      <c r="G57" s="80">
        <f t="shared" si="11"/>
        <v>0</v>
      </c>
      <c r="H57" s="80">
        <f t="shared" si="12"/>
        <v>0</v>
      </c>
    </row>
    <row r="58" spans="1:8" ht="15.75" customHeight="1">
      <c r="A58" s="78">
        <f t="shared" si="5"/>
        <v>0</v>
      </c>
      <c r="B58" s="80">
        <f t="shared" si="6"/>
        <v>0</v>
      </c>
      <c r="C58" s="80">
        <f t="shared" si="7"/>
        <v>0</v>
      </c>
      <c r="D58" s="80">
        <f t="shared" si="8"/>
        <v>0</v>
      </c>
      <c r="E58" s="80">
        <f t="shared" si="9"/>
        <v>0</v>
      </c>
      <c r="F58" s="80">
        <f t="shared" si="10"/>
        <v>0</v>
      </c>
      <c r="G58" s="80">
        <f t="shared" si="11"/>
        <v>0</v>
      </c>
      <c r="H58" s="80">
        <f t="shared" si="12"/>
        <v>0</v>
      </c>
    </row>
    <row r="59" spans="1:8" ht="15.75" customHeight="1">
      <c r="A59" s="78">
        <f t="shared" si="5"/>
        <v>0</v>
      </c>
      <c r="B59" s="80">
        <f t="shared" si="6"/>
        <v>0</v>
      </c>
      <c r="C59" s="80">
        <f t="shared" si="7"/>
        <v>0</v>
      </c>
      <c r="D59" s="80">
        <f t="shared" si="8"/>
        <v>0</v>
      </c>
      <c r="E59" s="80">
        <f t="shared" si="9"/>
        <v>0</v>
      </c>
      <c r="F59" s="80">
        <f t="shared" si="10"/>
        <v>0</v>
      </c>
      <c r="G59" s="80">
        <f t="shared" si="11"/>
        <v>0</v>
      </c>
      <c r="H59" s="80">
        <f t="shared" si="12"/>
        <v>0</v>
      </c>
    </row>
    <row r="60" spans="1:8" ht="15.75" customHeight="1">
      <c r="A60" s="78">
        <f t="shared" si="5"/>
        <v>0</v>
      </c>
      <c r="B60" s="80">
        <f t="shared" si="6"/>
        <v>0</v>
      </c>
      <c r="C60" s="80">
        <f t="shared" si="7"/>
        <v>0</v>
      </c>
      <c r="D60" s="80">
        <f t="shared" si="8"/>
        <v>0</v>
      </c>
      <c r="E60" s="80">
        <f t="shared" si="9"/>
        <v>0</v>
      </c>
      <c r="F60" s="80">
        <f t="shared" si="10"/>
        <v>0</v>
      </c>
      <c r="G60" s="80">
        <f t="shared" si="11"/>
        <v>0</v>
      </c>
      <c r="H60" s="80">
        <f t="shared" si="12"/>
        <v>0</v>
      </c>
    </row>
    <row r="61" spans="1:8" ht="15.75" customHeight="1">
      <c r="A61" s="78">
        <f t="shared" si="5"/>
        <v>0</v>
      </c>
      <c r="B61" s="80">
        <f t="shared" si="6"/>
        <v>0</v>
      </c>
      <c r="C61" s="80">
        <f t="shared" si="7"/>
        <v>0</v>
      </c>
      <c r="D61" s="80">
        <f t="shared" si="8"/>
        <v>0</v>
      </c>
      <c r="E61" s="80">
        <f t="shared" si="9"/>
        <v>0</v>
      </c>
      <c r="F61" s="80">
        <f t="shared" si="10"/>
        <v>0</v>
      </c>
      <c r="G61" s="80">
        <f t="shared" si="11"/>
        <v>0</v>
      </c>
      <c r="H61" s="80">
        <f t="shared" si="12"/>
        <v>0</v>
      </c>
    </row>
    <row r="62" spans="1:8" ht="15.75" customHeight="1">
      <c r="A62" s="78" t="str">
        <f t="shared" ref="A62:A65" si="13">A34</f>
        <v>Pomegranate</v>
      </c>
      <c r="B62" s="80">
        <f t="shared" ref="B62:H62" si="14">B34*$B$41</f>
        <v>0</v>
      </c>
      <c r="C62" s="80">
        <f t="shared" si="14"/>
        <v>0</v>
      </c>
      <c r="D62" s="80">
        <f t="shared" si="14"/>
        <v>0</v>
      </c>
      <c r="E62" s="80">
        <f t="shared" si="14"/>
        <v>0</v>
      </c>
      <c r="F62" s="80">
        <f t="shared" si="14"/>
        <v>0</v>
      </c>
      <c r="G62" s="80">
        <f t="shared" si="14"/>
        <v>0</v>
      </c>
      <c r="H62" s="80">
        <f t="shared" si="14"/>
        <v>0</v>
      </c>
    </row>
    <row r="63" spans="1:8" ht="15.75" customHeight="1">
      <c r="A63" s="78" t="str">
        <f t="shared" si="13"/>
        <v>Custard Apple</v>
      </c>
      <c r="B63" s="80">
        <f t="shared" ref="B63:H63" si="15">B35*$B$41</f>
        <v>0</v>
      </c>
      <c r="C63" s="80">
        <f t="shared" si="15"/>
        <v>0</v>
      </c>
      <c r="D63" s="80">
        <f t="shared" si="15"/>
        <v>0</v>
      </c>
      <c r="E63" s="80">
        <f t="shared" si="15"/>
        <v>0</v>
      </c>
      <c r="F63" s="80">
        <f t="shared" si="15"/>
        <v>0</v>
      </c>
      <c r="G63" s="80">
        <f t="shared" si="15"/>
        <v>0</v>
      </c>
      <c r="H63" s="80">
        <f t="shared" si="15"/>
        <v>0</v>
      </c>
    </row>
    <row r="64" spans="1:8" ht="15.75" customHeight="1">
      <c r="A64" s="78" t="str">
        <f t="shared" si="13"/>
        <v>Guava</v>
      </c>
      <c r="B64" s="80">
        <f t="shared" ref="B64:H64" si="16">B36*$B$41</f>
        <v>0</v>
      </c>
      <c r="C64" s="80">
        <f t="shared" si="16"/>
        <v>0</v>
      </c>
      <c r="D64" s="80">
        <f t="shared" si="16"/>
        <v>0</v>
      </c>
      <c r="E64" s="80">
        <f t="shared" si="16"/>
        <v>0</v>
      </c>
      <c r="F64" s="80">
        <f t="shared" si="16"/>
        <v>0</v>
      </c>
      <c r="G64" s="80">
        <f t="shared" si="16"/>
        <v>0</v>
      </c>
      <c r="H64" s="80">
        <f t="shared" si="16"/>
        <v>0</v>
      </c>
    </row>
    <row r="65" spans="1:8" ht="15.75" customHeight="1">
      <c r="A65" s="78" t="str">
        <f t="shared" si="13"/>
        <v>Citrus</v>
      </c>
      <c r="B65" s="80">
        <f t="shared" ref="B65:H65" si="17">B37*$B$41</f>
        <v>0</v>
      </c>
      <c r="C65" s="80">
        <f t="shared" si="17"/>
        <v>0</v>
      </c>
      <c r="D65" s="80">
        <f t="shared" si="17"/>
        <v>0</v>
      </c>
      <c r="E65" s="80">
        <f t="shared" si="17"/>
        <v>0</v>
      </c>
      <c r="F65" s="80">
        <f t="shared" si="17"/>
        <v>0</v>
      </c>
      <c r="G65" s="80">
        <f t="shared" si="17"/>
        <v>0</v>
      </c>
      <c r="H65" s="80">
        <f t="shared" si="17"/>
        <v>0</v>
      </c>
    </row>
    <row r="66" spans="1:8" ht="15.75" customHeight="1">
      <c r="A66" s="81" t="s">
        <v>611</v>
      </c>
      <c r="B66" s="78"/>
      <c r="C66" s="78"/>
      <c r="D66" s="78"/>
      <c r="E66" s="78"/>
      <c r="F66" s="78"/>
      <c r="G66" s="78"/>
      <c r="H66" s="78"/>
    </row>
    <row r="67" spans="1:8" ht="15.75" customHeight="1">
      <c r="A67" s="78" t="str">
        <f>A44</f>
        <v>Onion</v>
      </c>
      <c r="B67" s="238"/>
      <c r="C67" s="238"/>
      <c r="D67" s="238"/>
      <c r="E67" s="238"/>
      <c r="F67" s="238"/>
      <c r="G67" s="238"/>
      <c r="H67" s="238"/>
    </row>
    <row r="68" spans="1:8" ht="15.75" customHeight="1">
      <c r="A68" s="78"/>
      <c r="B68" s="238"/>
      <c r="C68" s="238"/>
      <c r="D68" s="238"/>
      <c r="E68" s="238"/>
      <c r="F68" s="238"/>
      <c r="G68" s="238"/>
      <c r="H68" s="238"/>
    </row>
    <row r="69" spans="1:8" ht="15.75" customHeight="1">
      <c r="A69" s="78"/>
      <c r="B69" s="238"/>
      <c r="C69" s="238"/>
      <c r="D69" s="238"/>
      <c r="E69" s="238"/>
      <c r="F69" s="238"/>
      <c r="G69" s="238"/>
      <c r="H69" s="238"/>
    </row>
    <row r="70" spans="1:8" ht="15.75" customHeight="1">
      <c r="A70" s="78"/>
      <c r="B70" s="238"/>
      <c r="C70" s="238"/>
      <c r="D70" s="238"/>
      <c r="E70" s="238"/>
      <c r="F70" s="238"/>
      <c r="G70" s="238"/>
      <c r="H70" s="238"/>
    </row>
    <row r="71" spans="1:8" ht="15.75" customHeight="1">
      <c r="A71" s="78" t="str">
        <f>A45</f>
        <v>Tomato</v>
      </c>
      <c r="B71" s="80"/>
      <c r="C71" s="80"/>
      <c r="D71" s="80"/>
      <c r="E71" s="80"/>
      <c r="F71" s="80"/>
      <c r="G71" s="80"/>
      <c r="H71" s="80"/>
    </row>
    <row r="72" spans="1:8" ht="15.75" customHeight="1">
      <c r="A72" s="78"/>
      <c r="B72" s="80"/>
      <c r="C72" s="80"/>
      <c r="D72" s="80"/>
      <c r="E72" s="80"/>
      <c r="F72" s="80"/>
      <c r="G72" s="80"/>
      <c r="H72" s="80"/>
    </row>
    <row r="73" spans="1:8" ht="15.75" customHeight="1">
      <c r="A73" s="78"/>
      <c r="B73" s="80"/>
      <c r="C73" s="80"/>
      <c r="D73" s="80"/>
      <c r="E73" s="80"/>
      <c r="F73" s="80"/>
      <c r="G73" s="80"/>
      <c r="H73" s="80"/>
    </row>
    <row r="74" spans="1:8" ht="15.75" customHeight="1">
      <c r="A74" s="78"/>
      <c r="B74" s="80"/>
      <c r="C74" s="80"/>
      <c r="D74" s="80"/>
      <c r="E74" s="80"/>
      <c r="F74" s="80"/>
      <c r="G74" s="80"/>
      <c r="H74" s="80"/>
    </row>
    <row r="75" spans="1:8" ht="15.75" customHeight="1">
      <c r="A75" s="78" t="str">
        <f>A46</f>
        <v>Okra</v>
      </c>
      <c r="B75" s="80"/>
      <c r="C75" s="80"/>
      <c r="D75" s="80"/>
      <c r="E75" s="80"/>
      <c r="F75" s="80"/>
      <c r="G75" s="80"/>
      <c r="H75" s="80"/>
    </row>
    <row r="76" spans="1:8" ht="15.75" customHeight="1">
      <c r="A76" s="78"/>
      <c r="B76" s="80"/>
      <c r="C76" s="80"/>
      <c r="D76" s="80"/>
      <c r="E76" s="80"/>
      <c r="F76" s="80"/>
      <c r="G76" s="80"/>
      <c r="H76" s="80"/>
    </row>
    <row r="77" spans="1:8" ht="15.75" customHeight="1">
      <c r="A77" s="78"/>
      <c r="B77" s="80"/>
      <c r="C77" s="80"/>
      <c r="D77" s="80"/>
      <c r="E77" s="80"/>
      <c r="F77" s="80"/>
      <c r="G77" s="80"/>
      <c r="H77" s="80"/>
    </row>
    <row r="78" spans="1:8" ht="15.75" customHeight="1">
      <c r="A78" s="78"/>
      <c r="B78" s="80"/>
      <c r="C78" s="80"/>
      <c r="D78" s="80"/>
      <c r="E78" s="80"/>
      <c r="F78" s="80"/>
      <c r="G78" s="80"/>
      <c r="H78" s="80"/>
    </row>
    <row r="79" spans="1:8" ht="15.75" customHeight="1">
      <c r="A79" s="78" t="str">
        <f>A47</f>
        <v>Chilli</v>
      </c>
      <c r="B79" s="80"/>
      <c r="C79" s="80"/>
      <c r="D79" s="80"/>
      <c r="E79" s="80"/>
      <c r="F79" s="80"/>
      <c r="G79" s="80"/>
      <c r="H79" s="80"/>
    </row>
    <row r="80" spans="1:8" ht="15.75" customHeight="1">
      <c r="A80" s="78"/>
      <c r="B80" s="80"/>
      <c r="C80" s="80"/>
      <c r="D80" s="80"/>
      <c r="E80" s="80"/>
      <c r="F80" s="80"/>
      <c r="G80" s="80"/>
      <c r="H80" s="80"/>
    </row>
    <row r="81" spans="1:8" ht="15.75" customHeight="1">
      <c r="A81" s="78"/>
      <c r="B81" s="80"/>
      <c r="C81" s="80"/>
      <c r="D81" s="80"/>
      <c r="E81" s="80"/>
      <c r="F81" s="80"/>
      <c r="G81" s="80"/>
      <c r="H81" s="80"/>
    </row>
    <row r="82" spans="1:8" ht="15.75" customHeight="1">
      <c r="A82" s="78"/>
      <c r="B82" s="80"/>
      <c r="C82" s="80"/>
      <c r="D82" s="80"/>
      <c r="E82" s="80"/>
      <c r="F82" s="80"/>
      <c r="G82" s="80"/>
      <c r="H82" s="80"/>
    </row>
    <row r="83" spans="1:8" ht="15.75" customHeight="1">
      <c r="A83" s="78" t="str">
        <f>A48</f>
        <v>Potato</v>
      </c>
      <c r="B83" s="80"/>
      <c r="C83" s="80"/>
      <c r="D83" s="80"/>
      <c r="E83" s="80"/>
      <c r="F83" s="80"/>
      <c r="G83" s="80"/>
      <c r="H83" s="80"/>
    </row>
    <row r="84" spans="1:8" ht="15.75" customHeight="1">
      <c r="A84" s="78"/>
      <c r="B84" s="80"/>
      <c r="C84" s="80"/>
      <c r="D84" s="80"/>
      <c r="E84" s="80"/>
      <c r="F84" s="80"/>
      <c r="G84" s="80"/>
      <c r="H84" s="80"/>
    </row>
    <row r="85" spans="1:8" ht="15.75" customHeight="1">
      <c r="A85" s="78"/>
      <c r="B85" s="80"/>
      <c r="C85" s="80"/>
      <c r="D85" s="80"/>
      <c r="E85" s="80"/>
      <c r="F85" s="80"/>
      <c r="G85" s="80"/>
      <c r="H85" s="80"/>
    </row>
    <row r="86" spans="1:8" ht="15.75" customHeight="1">
      <c r="A86" s="78"/>
      <c r="B86" s="80"/>
      <c r="C86" s="80"/>
      <c r="D86" s="80"/>
      <c r="E86" s="80"/>
      <c r="F86" s="80"/>
      <c r="G86" s="80"/>
      <c r="H86" s="80"/>
    </row>
    <row r="87" spans="1:8" ht="15.75" customHeight="1">
      <c r="A87" s="78">
        <f>A49</f>
        <v>0</v>
      </c>
      <c r="B87" s="80"/>
      <c r="C87" s="80"/>
      <c r="D87" s="80"/>
      <c r="E87" s="80"/>
      <c r="F87" s="80"/>
      <c r="G87" s="80"/>
      <c r="H87" s="80"/>
    </row>
    <row r="88" spans="1:8" ht="15.75" customHeight="1">
      <c r="A88" s="78"/>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f>A50</f>
        <v>0</v>
      </c>
      <c r="B91" s="80"/>
      <c r="C91" s="80"/>
      <c r="D91" s="80"/>
      <c r="E91" s="80"/>
      <c r="F91" s="80"/>
      <c r="G91" s="80"/>
      <c r="H91" s="80"/>
    </row>
    <row r="92" spans="1:8" ht="15.75" customHeight="1">
      <c r="A92" s="78"/>
      <c r="B92" s="80"/>
      <c r="C92" s="80"/>
      <c r="D92" s="80"/>
      <c r="E92" s="80"/>
      <c r="F92" s="80"/>
      <c r="G92" s="80"/>
      <c r="H92" s="80"/>
    </row>
    <row r="93" spans="1:8" ht="15.75" customHeight="1">
      <c r="A93" s="78"/>
      <c r="B93" s="80"/>
      <c r="C93" s="80"/>
      <c r="D93" s="80"/>
      <c r="E93" s="80"/>
      <c r="F93" s="80"/>
      <c r="G93" s="80"/>
      <c r="H93" s="80"/>
    </row>
    <row r="94" spans="1:8" ht="15.75" customHeight="1">
      <c r="A94" s="78">
        <f>A51</f>
        <v>0</v>
      </c>
      <c r="B94" s="80"/>
      <c r="C94" s="80"/>
      <c r="D94" s="80"/>
      <c r="E94" s="80"/>
      <c r="F94" s="80"/>
      <c r="G94" s="80"/>
      <c r="H94" s="80"/>
    </row>
    <row r="95" spans="1:8" ht="15.75" customHeight="1">
      <c r="A95" s="78"/>
      <c r="B95" s="80"/>
      <c r="C95" s="80"/>
      <c r="D95" s="80"/>
      <c r="E95" s="80"/>
      <c r="F95" s="80"/>
      <c r="G95" s="80"/>
      <c r="H95" s="80"/>
    </row>
    <row r="96" spans="1:8" ht="15.75" customHeight="1">
      <c r="A96" s="78"/>
      <c r="B96" s="80"/>
      <c r="C96" s="80"/>
      <c r="D96" s="80"/>
      <c r="E96" s="80"/>
      <c r="F96" s="80"/>
      <c r="G96" s="80"/>
      <c r="H96" s="80"/>
    </row>
    <row r="97" spans="1:8" ht="15.75" customHeight="1">
      <c r="A97" s="78"/>
      <c r="B97" s="80"/>
      <c r="C97" s="80"/>
      <c r="D97" s="80"/>
      <c r="E97" s="80"/>
      <c r="F97" s="80"/>
      <c r="G97" s="80"/>
      <c r="H97" s="80"/>
    </row>
    <row r="98" spans="1:8" ht="15.75" customHeight="1">
      <c r="A98" s="78">
        <f>A52</f>
        <v>0</v>
      </c>
      <c r="B98" s="80"/>
      <c r="C98" s="80"/>
      <c r="D98" s="80"/>
      <c r="E98" s="80"/>
      <c r="F98" s="80"/>
      <c r="G98" s="80"/>
      <c r="H98" s="80"/>
    </row>
    <row r="99" spans="1:8" ht="15.75" customHeight="1">
      <c r="A99" s="78"/>
      <c r="B99" s="80"/>
      <c r="C99" s="80"/>
      <c r="D99" s="80"/>
      <c r="E99" s="80"/>
      <c r="F99" s="80"/>
      <c r="G99" s="80"/>
      <c r="H99" s="80"/>
    </row>
    <row r="100" spans="1:8" ht="15.75" customHeight="1">
      <c r="A100" s="78"/>
      <c r="B100" s="80"/>
      <c r="C100" s="80"/>
      <c r="D100" s="80"/>
      <c r="E100" s="80"/>
      <c r="F100" s="80"/>
      <c r="G100" s="80"/>
      <c r="H100" s="80"/>
    </row>
    <row r="101" spans="1:8" ht="15.75" customHeight="1">
      <c r="A101" s="78"/>
      <c r="B101" s="80"/>
      <c r="C101" s="80"/>
      <c r="D101" s="80"/>
      <c r="E101" s="80"/>
      <c r="F101" s="80"/>
      <c r="G101" s="80"/>
      <c r="H101" s="80"/>
    </row>
    <row r="102" spans="1:8" ht="15.75" customHeight="1">
      <c r="A102" s="78" t="str">
        <f>A53</f>
        <v>Onion</v>
      </c>
      <c r="B102" s="80"/>
      <c r="C102" s="80"/>
      <c r="D102" s="80"/>
      <c r="E102" s="80"/>
      <c r="F102" s="80"/>
      <c r="G102" s="80"/>
      <c r="H102" s="80"/>
    </row>
    <row r="103" spans="1:8" ht="15.75" customHeight="1">
      <c r="A103" s="78"/>
      <c r="B103" s="80"/>
      <c r="C103" s="80"/>
      <c r="D103" s="80"/>
      <c r="E103" s="80"/>
      <c r="F103" s="80"/>
      <c r="G103" s="80"/>
      <c r="H103" s="80"/>
    </row>
    <row r="104" spans="1:8" ht="15.75" customHeight="1">
      <c r="A104" s="78"/>
      <c r="B104" s="80"/>
      <c r="C104" s="80"/>
      <c r="D104" s="80"/>
      <c r="E104" s="80"/>
      <c r="F104" s="80"/>
      <c r="G104" s="80"/>
      <c r="H104" s="80"/>
    </row>
    <row r="105" spans="1:8" ht="15.75" customHeight="1">
      <c r="A105" s="78"/>
      <c r="B105" s="80"/>
      <c r="C105" s="80"/>
      <c r="D105" s="80"/>
      <c r="E105" s="80"/>
      <c r="F105" s="80"/>
      <c r="G105" s="80"/>
      <c r="H105" s="80"/>
    </row>
    <row r="106" spans="1:8" ht="15.75" customHeight="1">
      <c r="A106" s="78" t="str">
        <f>A54</f>
        <v>Tomato</v>
      </c>
      <c r="B106" s="80"/>
      <c r="C106" s="80"/>
      <c r="D106" s="80"/>
      <c r="E106" s="80"/>
      <c r="F106" s="80"/>
      <c r="G106" s="80"/>
      <c r="H106" s="80"/>
    </row>
    <row r="107" spans="1:8" ht="15.75" customHeight="1">
      <c r="A107" s="78"/>
      <c r="B107" s="80"/>
      <c r="C107" s="80"/>
      <c r="D107" s="80"/>
      <c r="E107" s="80"/>
      <c r="F107" s="80"/>
      <c r="G107" s="80"/>
      <c r="H107" s="80"/>
    </row>
    <row r="108" spans="1:8" ht="15.75" customHeight="1">
      <c r="A108" s="78"/>
      <c r="B108" s="80"/>
      <c r="C108" s="80"/>
      <c r="D108" s="80"/>
      <c r="E108" s="80"/>
      <c r="F108" s="80"/>
      <c r="G108" s="80"/>
      <c r="H108" s="80"/>
    </row>
    <row r="109" spans="1:8" ht="15.75" customHeight="1">
      <c r="A109" s="78"/>
      <c r="B109" s="80"/>
      <c r="C109" s="80"/>
      <c r="D109" s="80"/>
      <c r="E109" s="80"/>
      <c r="F109" s="80"/>
      <c r="G109" s="80"/>
      <c r="H109" s="80"/>
    </row>
    <row r="110" spans="1:8" ht="15.75" customHeight="1">
      <c r="A110" s="78" t="str">
        <f>A55</f>
        <v>Okra</v>
      </c>
      <c r="B110" s="80"/>
      <c r="C110" s="80"/>
      <c r="D110" s="80"/>
      <c r="E110" s="80"/>
      <c r="F110" s="80"/>
      <c r="G110" s="80"/>
      <c r="H110" s="80"/>
    </row>
    <row r="111" spans="1:8" ht="15.75" customHeight="1">
      <c r="A111" s="78"/>
      <c r="B111" s="80"/>
      <c r="C111" s="80"/>
      <c r="D111" s="80"/>
      <c r="E111" s="80"/>
      <c r="F111" s="80"/>
      <c r="G111" s="80"/>
      <c r="H111" s="80"/>
    </row>
    <row r="112" spans="1:8" ht="15.75" customHeight="1">
      <c r="A112" s="78"/>
      <c r="B112" s="80"/>
      <c r="C112" s="80"/>
      <c r="D112" s="80"/>
      <c r="E112" s="80"/>
      <c r="F112" s="80"/>
      <c r="G112" s="80"/>
      <c r="H112" s="80"/>
    </row>
    <row r="113" spans="1:8" ht="15.75" customHeight="1">
      <c r="A113" s="78"/>
      <c r="B113" s="80"/>
      <c r="C113" s="80"/>
      <c r="D113" s="80"/>
      <c r="E113" s="80"/>
      <c r="F113" s="80"/>
      <c r="G113" s="80"/>
      <c r="H113" s="80"/>
    </row>
    <row r="114" spans="1:8" ht="15.75" customHeight="1">
      <c r="A114" s="78" t="str">
        <f>A56</f>
        <v>Chilli</v>
      </c>
      <c r="B114" s="80"/>
      <c r="C114" s="80"/>
      <c r="D114" s="80"/>
      <c r="E114" s="80"/>
      <c r="F114" s="80"/>
      <c r="G114" s="80"/>
      <c r="H114" s="80"/>
    </row>
    <row r="115" spans="1:8" ht="15.75" customHeight="1">
      <c r="A115" s="78"/>
      <c r="B115" s="80"/>
      <c r="C115" s="80"/>
      <c r="D115" s="80"/>
      <c r="E115" s="80"/>
      <c r="F115" s="80"/>
      <c r="G115" s="80"/>
      <c r="H115" s="80"/>
    </row>
    <row r="116" spans="1:8" ht="15.75" customHeight="1">
      <c r="A116" s="78"/>
      <c r="B116" s="80"/>
      <c r="C116" s="80"/>
      <c r="D116" s="80"/>
      <c r="E116" s="80"/>
      <c r="F116" s="80"/>
      <c r="G116" s="80"/>
      <c r="H116" s="80"/>
    </row>
    <row r="117" spans="1:8" ht="15.75" customHeight="1">
      <c r="A117" s="78"/>
      <c r="B117" s="80"/>
      <c r="C117" s="80"/>
      <c r="D117" s="80"/>
      <c r="E117" s="80"/>
      <c r="F117" s="80"/>
      <c r="G117" s="80"/>
      <c r="H117" s="80"/>
    </row>
    <row r="118" spans="1:8" ht="15.75" customHeight="1">
      <c r="A118" s="81" t="str">
        <f t="shared" ref="A118:A123" si="18">A57</f>
        <v>Brinjal</v>
      </c>
      <c r="B118" s="80"/>
      <c r="C118" s="80"/>
      <c r="D118" s="80"/>
      <c r="E118" s="80"/>
      <c r="F118" s="80"/>
      <c r="G118" s="80"/>
      <c r="H118" s="80"/>
    </row>
    <row r="119" spans="1:8" ht="15.75" customHeight="1">
      <c r="A119" s="78">
        <f t="shared" si="18"/>
        <v>0</v>
      </c>
      <c r="B119" s="80"/>
      <c r="C119" s="80"/>
      <c r="D119" s="80"/>
      <c r="E119" s="80"/>
      <c r="F119" s="80"/>
      <c r="G119" s="80"/>
      <c r="H119" s="80"/>
    </row>
    <row r="120" spans="1:8" ht="15.75" customHeight="1">
      <c r="A120" s="78">
        <f t="shared" si="18"/>
        <v>0</v>
      </c>
      <c r="B120" s="80"/>
      <c r="C120" s="80"/>
      <c r="D120" s="80"/>
      <c r="E120" s="80"/>
      <c r="F120" s="80"/>
      <c r="G120" s="80"/>
      <c r="H120" s="80"/>
    </row>
    <row r="121" spans="1:8" ht="15.75" customHeight="1">
      <c r="A121" s="78">
        <f t="shared" si="18"/>
        <v>0</v>
      </c>
      <c r="B121" s="80"/>
      <c r="C121" s="80"/>
      <c r="D121" s="80"/>
      <c r="E121" s="80"/>
      <c r="F121" s="80"/>
      <c r="G121" s="80"/>
      <c r="H121" s="80"/>
    </row>
    <row r="122" spans="1:8" ht="15.75" customHeight="1">
      <c r="A122" s="78">
        <f t="shared" si="18"/>
        <v>0</v>
      </c>
      <c r="B122" s="80"/>
      <c r="C122" s="80"/>
      <c r="D122" s="80"/>
      <c r="E122" s="80"/>
      <c r="F122" s="80"/>
      <c r="G122" s="80"/>
      <c r="H122" s="80"/>
    </row>
    <row r="123" spans="1:8" ht="15.75" customHeight="1">
      <c r="A123" s="81" t="str">
        <f t="shared" si="18"/>
        <v>Pomegranate</v>
      </c>
      <c r="B123" s="80"/>
      <c r="C123" s="80"/>
      <c r="D123" s="80"/>
      <c r="E123" s="80"/>
      <c r="F123" s="80"/>
      <c r="G123" s="80"/>
      <c r="H123" s="80"/>
    </row>
    <row r="124" spans="1:8" ht="15.75" customHeight="1">
      <c r="A124" s="78" t="s">
        <v>697</v>
      </c>
      <c r="B124" s="80">
        <f t="shared" ref="B124:H124" si="19">(B$62*50%)*0.7</f>
        <v>0</v>
      </c>
      <c r="C124" s="80">
        <f t="shared" si="19"/>
        <v>0</v>
      </c>
      <c r="D124" s="80">
        <f t="shared" si="19"/>
        <v>0</v>
      </c>
      <c r="E124" s="80">
        <f t="shared" si="19"/>
        <v>0</v>
      </c>
      <c r="F124" s="80">
        <f t="shared" si="19"/>
        <v>0</v>
      </c>
      <c r="G124" s="80">
        <f t="shared" si="19"/>
        <v>0</v>
      </c>
      <c r="H124" s="80">
        <f t="shared" si="19"/>
        <v>0</v>
      </c>
    </row>
    <row r="125" spans="1:8" ht="15.75" customHeight="1">
      <c r="A125" s="78" t="s">
        <v>698</v>
      </c>
      <c r="B125" s="80">
        <f>(B$62*50%)*0.7*2</f>
        <v>0</v>
      </c>
      <c r="C125" s="80">
        <f t="shared" ref="C125:H125" si="20">(C$62*50%)*0.7</f>
        <v>0</v>
      </c>
      <c r="D125" s="80">
        <f t="shared" si="20"/>
        <v>0</v>
      </c>
      <c r="E125" s="80">
        <f t="shared" si="20"/>
        <v>0</v>
      </c>
      <c r="F125" s="80">
        <f t="shared" si="20"/>
        <v>0</v>
      </c>
      <c r="G125" s="80">
        <f t="shared" si="20"/>
        <v>0</v>
      </c>
      <c r="H125" s="80">
        <f t="shared" si="20"/>
        <v>0</v>
      </c>
    </row>
    <row r="126" spans="1:8" ht="15.75" customHeight="1">
      <c r="A126" s="78" t="s">
        <v>699</v>
      </c>
      <c r="B126" s="80">
        <f>(B$62*0.3)*0.2</f>
        <v>0</v>
      </c>
      <c r="C126" s="80">
        <f t="shared" ref="C126:H126" si="21">(C$62*50%)*0.7</f>
        <v>0</v>
      </c>
      <c r="D126" s="80">
        <f t="shared" si="21"/>
        <v>0</v>
      </c>
      <c r="E126" s="80">
        <f t="shared" si="21"/>
        <v>0</v>
      </c>
      <c r="F126" s="80">
        <f t="shared" si="21"/>
        <v>0</v>
      </c>
      <c r="G126" s="80">
        <f t="shared" si="21"/>
        <v>0</v>
      </c>
      <c r="H126" s="80">
        <f t="shared" si="21"/>
        <v>0</v>
      </c>
    </row>
    <row r="127" spans="1:8" ht="15.75" customHeight="1">
      <c r="A127" s="78" t="str">
        <f>A63</f>
        <v>Custard Apple</v>
      </c>
      <c r="B127" s="80"/>
      <c r="C127" s="80"/>
      <c r="D127" s="80"/>
      <c r="E127" s="80"/>
      <c r="F127" s="80"/>
      <c r="G127" s="80"/>
      <c r="H127" s="80"/>
    </row>
    <row r="128" spans="1:8" ht="15.75" customHeight="1">
      <c r="A128" s="78"/>
      <c r="B128" s="80"/>
      <c r="C128" s="80"/>
      <c r="D128" s="80"/>
      <c r="E128" s="80"/>
      <c r="F128" s="80"/>
      <c r="G128" s="80"/>
      <c r="H128" s="80"/>
    </row>
    <row r="129" spans="1:8" ht="15.75" customHeight="1">
      <c r="A129" s="78"/>
      <c r="B129" s="80"/>
      <c r="C129" s="80"/>
      <c r="D129" s="80"/>
      <c r="E129" s="80"/>
      <c r="F129" s="80"/>
      <c r="G129" s="80"/>
      <c r="H129" s="80"/>
    </row>
    <row r="130" spans="1:8" ht="15.75" customHeight="1">
      <c r="A130" s="78"/>
      <c r="B130" s="80"/>
      <c r="C130" s="80"/>
      <c r="D130" s="80"/>
      <c r="E130" s="80"/>
      <c r="F130" s="80"/>
      <c r="G130" s="80"/>
      <c r="H130" s="80"/>
    </row>
    <row r="131" spans="1:8" ht="15.75" customHeight="1">
      <c r="A131" s="78" t="str">
        <f>A64</f>
        <v>Guava</v>
      </c>
      <c r="B131" s="80"/>
      <c r="C131" s="80"/>
      <c r="D131" s="80"/>
      <c r="E131" s="80"/>
      <c r="F131" s="80"/>
      <c r="G131" s="80"/>
      <c r="H131" s="80"/>
    </row>
    <row r="132" spans="1:8" ht="15.75" customHeight="1">
      <c r="A132" s="78"/>
      <c r="B132" s="80"/>
      <c r="C132" s="80"/>
      <c r="D132" s="80"/>
      <c r="E132" s="80"/>
      <c r="F132" s="80"/>
      <c r="G132" s="80"/>
      <c r="H132" s="80"/>
    </row>
    <row r="133" spans="1:8" ht="15.75" customHeight="1">
      <c r="A133" s="78"/>
      <c r="B133" s="80"/>
      <c r="C133" s="80"/>
      <c r="D133" s="80"/>
      <c r="E133" s="80"/>
      <c r="F133" s="80"/>
      <c r="G133" s="80"/>
      <c r="H133" s="80"/>
    </row>
    <row r="134" spans="1:8" ht="15.75" customHeight="1">
      <c r="A134" s="78"/>
      <c r="B134" s="80"/>
      <c r="C134" s="80"/>
      <c r="D134" s="80"/>
      <c r="E134" s="80"/>
      <c r="F134" s="80"/>
      <c r="G134" s="80"/>
      <c r="H134" s="80"/>
    </row>
    <row r="135" spans="1:8" ht="15.75" customHeight="1">
      <c r="A135" s="78" t="str">
        <f>A65</f>
        <v>Citrus</v>
      </c>
      <c r="B135" s="80"/>
      <c r="C135" s="80"/>
      <c r="D135" s="80"/>
      <c r="E135" s="80"/>
      <c r="F135" s="80"/>
      <c r="G135" s="80"/>
      <c r="H135" s="80"/>
    </row>
    <row r="136" spans="1:8" ht="15.75" customHeight="1">
      <c r="A136" s="78"/>
      <c r="B136" s="80"/>
      <c r="C136" s="80"/>
      <c r="D136" s="80"/>
      <c r="E136" s="80"/>
      <c r="F136" s="80"/>
      <c r="G136" s="80"/>
      <c r="H136" s="80"/>
    </row>
    <row r="137" spans="1:8" ht="15.75" customHeight="1">
      <c r="A137" s="78"/>
      <c r="B137" s="80"/>
      <c r="C137" s="80"/>
      <c r="D137" s="80"/>
      <c r="E137" s="80"/>
      <c r="F137" s="80"/>
      <c r="G137" s="80"/>
      <c r="H137" s="80"/>
    </row>
    <row r="138" spans="1:8" ht="15.75" customHeight="1">
      <c r="A138" s="78"/>
      <c r="B138" s="80"/>
      <c r="C138" s="80"/>
      <c r="D138" s="80"/>
      <c r="E138" s="80"/>
      <c r="F138" s="80"/>
      <c r="G138" s="80"/>
      <c r="H138" s="80"/>
    </row>
    <row r="139" spans="1:8" ht="15.75" customHeight="1">
      <c r="A139" s="73"/>
      <c r="B139" s="120"/>
      <c r="C139" s="120"/>
      <c r="D139" s="120"/>
      <c r="E139" s="120"/>
      <c r="F139" s="120"/>
      <c r="G139" s="120"/>
      <c r="H139" s="120"/>
    </row>
    <row r="140" spans="1:8" ht="15.75" customHeight="1">
      <c r="A140" s="73" t="s">
        <v>614</v>
      </c>
    </row>
    <row r="141" spans="1:8" ht="15.75" customHeight="1">
      <c r="A141" t="s">
        <v>700</v>
      </c>
      <c r="B141" s="158">
        <f t="shared" ref="B141:H141" si="22">(B124*100)</f>
        <v>0</v>
      </c>
      <c r="C141" s="158">
        <f t="shared" si="22"/>
        <v>0</v>
      </c>
      <c r="D141" s="158">
        <f t="shared" si="22"/>
        <v>0</v>
      </c>
      <c r="E141" s="158">
        <f t="shared" si="22"/>
        <v>0</v>
      </c>
      <c r="F141" s="158">
        <f t="shared" si="22"/>
        <v>0</v>
      </c>
      <c r="G141" s="158">
        <f t="shared" si="22"/>
        <v>0</v>
      </c>
      <c r="H141" s="158">
        <f t="shared" si="22"/>
        <v>0</v>
      </c>
    </row>
    <row r="142" spans="1:8" ht="15.75" customHeight="1">
      <c r="A142" t="s">
        <v>701</v>
      </c>
      <c r="B142" s="158">
        <f t="shared" ref="B142:H142" si="23">(B125*100)</f>
        <v>0</v>
      </c>
      <c r="C142" s="158">
        <f t="shared" si="23"/>
        <v>0</v>
      </c>
      <c r="D142" s="158">
        <f t="shared" si="23"/>
        <v>0</v>
      </c>
      <c r="E142" s="158">
        <f t="shared" si="23"/>
        <v>0</v>
      </c>
      <c r="F142" s="158">
        <f t="shared" si="23"/>
        <v>0</v>
      </c>
      <c r="G142" s="158">
        <f t="shared" si="23"/>
        <v>0</v>
      </c>
      <c r="H142" s="158">
        <f t="shared" si="23"/>
        <v>0</v>
      </c>
    </row>
    <row r="143" spans="1:8" ht="15.75" customHeight="1">
      <c r="A143" t="s">
        <v>702</v>
      </c>
      <c r="B143" s="158">
        <f t="shared" ref="B143:H143" si="24">(B126*100)</f>
        <v>0</v>
      </c>
      <c r="C143" s="158">
        <f t="shared" si="24"/>
        <v>0</v>
      </c>
      <c r="D143" s="158">
        <f t="shared" si="24"/>
        <v>0</v>
      </c>
      <c r="E143" s="158">
        <f t="shared" si="24"/>
        <v>0</v>
      </c>
      <c r="F143" s="158">
        <f t="shared" si="24"/>
        <v>0</v>
      </c>
      <c r="G143" s="158">
        <f t="shared" si="24"/>
        <v>0</v>
      </c>
      <c r="H143" s="158">
        <f t="shared" si="24"/>
        <v>0</v>
      </c>
    </row>
    <row r="144" spans="1:8" ht="15.75" customHeight="1"/>
    <row r="145" spans="1:10" ht="15.75" customHeight="1">
      <c r="B145" s="158"/>
      <c r="C145" s="158"/>
    </row>
    <row r="146" spans="1:10" ht="15.75" customHeight="1">
      <c r="B146" s="158"/>
      <c r="C146" s="158"/>
      <c r="D146" s="158"/>
    </row>
    <row r="147" spans="1:10" ht="15.75" customHeight="1">
      <c r="A147" s="394" t="s">
        <v>703</v>
      </c>
      <c r="B147" s="378"/>
      <c r="C147" s="378"/>
      <c r="D147" s="378"/>
      <c r="E147" s="378"/>
      <c r="F147" s="378"/>
      <c r="G147" s="378"/>
      <c r="H147" s="378"/>
      <c r="I147" s="378"/>
      <c r="J147" s="378"/>
    </row>
    <row r="148" spans="1:10" ht="15.75" customHeight="1">
      <c r="A148" s="26"/>
      <c r="B148" s="26"/>
      <c r="C148" s="26"/>
      <c r="D148" s="26"/>
      <c r="E148" s="26"/>
      <c r="F148" s="26"/>
      <c r="G148" s="26"/>
      <c r="H148" s="26"/>
    </row>
    <row r="149" spans="1:10" ht="15.75" customHeight="1">
      <c r="A149" s="97"/>
      <c r="B149" s="97"/>
      <c r="C149" s="97"/>
      <c r="D149" s="271">
        <v>1</v>
      </c>
      <c r="E149" s="272">
        <f t="shared" ref="E149:J149" si="25">(D149*5%)+D149</f>
        <v>1.05</v>
      </c>
      <c r="F149" s="272">
        <f t="shared" si="25"/>
        <v>1.1025</v>
      </c>
      <c r="G149" s="272">
        <f t="shared" si="25"/>
        <v>1.1576250000000001</v>
      </c>
      <c r="H149" s="272">
        <f t="shared" si="25"/>
        <v>1.2155062500000002</v>
      </c>
      <c r="I149" s="272">
        <f t="shared" si="25"/>
        <v>1.2762815625000004</v>
      </c>
      <c r="J149" s="272">
        <f t="shared" si="25"/>
        <v>1.3400956406250004</v>
      </c>
    </row>
    <row r="150" spans="1:10" ht="15.75" customHeight="1">
      <c r="A150" s="73"/>
      <c r="B150" s="73"/>
      <c r="C150" s="73"/>
      <c r="D150" s="73"/>
      <c r="E150" s="73"/>
      <c r="F150" s="73"/>
      <c r="G150" s="73"/>
      <c r="H150" s="73"/>
      <c r="I150" s="73"/>
      <c r="J150" s="73"/>
    </row>
    <row r="151" spans="1:10" ht="15.75" customHeight="1">
      <c r="A151" s="76" t="s">
        <v>150</v>
      </c>
      <c r="B151" s="76" t="s">
        <v>121</v>
      </c>
      <c r="C151" s="76" t="s">
        <v>131</v>
      </c>
      <c r="D151" s="77" t="s">
        <v>153</v>
      </c>
      <c r="E151" s="77" t="s">
        <v>154</v>
      </c>
      <c r="F151" s="77" t="s">
        <v>155</v>
      </c>
      <c r="G151" s="77" t="s">
        <v>156</v>
      </c>
      <c r="H151" s="77" t="s">
        <v>157</v>
      </c>
      <c r="I151" s="77" t="s">
        <v>158</v>
      </c>
      <c r="J151" s="77" t="s">
        <v>159</v>
      </c>
    </row>
    <row r="152" spans="1:10" ht="15.75" customHeight="1">
      <c r="A152" s="78"/>
      <c r="B152" s="78"/>
      <c r="C152" s="78"/>
      <c r="D152" s="78"/>
      <c r="E152" s="78"/>
      <c r="F152" s="78"/>
      <c r="G152" s="78"/>
      <c r="H152" s="78"/>
      <c r="I152" s="78"/>
      <c r="J152" s="78"/>
    </row>
    <row r="153" spans="1:10" ht="15.75" customHeight="1">
      <c r="A153" s="81" t="s">
        <v>350</v>
      </c>
      <c r="B153" s="81"/>
      <c r="C153" s="81"/>
      <c r="D153" s="133"/>
      <c r="E153" s="133"/>
      <c r="F153" s="133"/>
      <c r="G153" s="133"/>
      <c r="H153" s="133"/>
      <c r="I153" s="78"/>
      <c r="J153" s="78"/>
    </row>
    <row r="154" spans="1:10" ht="15.75" customHeight="1">
      <c r="A154" s="78" t="str">
        <f t="shared" ref="A154:A156" si="26">A124</f>
        <v>Pomegranate Arils</v>
      </c>
      <c r="B154" s="50" t="s">
        <v>704</v>
      </c>
      <c r="C154" s="50">
        <v>150</v>
      </c>
      <c r="D154" s="80">
        <f>(B141*(1-'5.Closing Stock &amp; W Capital'!$D$18)*$C154*D$149)</f>
        <v>0</v>
      </c>
      <c r="E154" s="80">
        <f>(((C141*(1-'5.Closing Stock &amp; W Capital'!$D$18))+(B141*'5.Closing Stock &amp; W Capital'!$D$18))*$C154*E$149)</f>
        <v>0</v>
      </c>
      <c r="F154" s="80">
        <f>(((D141*(1-'5.Closing Stock &amp; W Capital'!$D$18))+(C141*'5.Closing Stock &amp; W Capital'!$D$18))*$C154*F$149)</f>
        <v>0</v>
      </c>
      <c r="G154" s="80">
        <f>(((E141*(1-'5.Closing Stock &amp; W Capital'!$D$18))+(D141*'5.Closing Stock &amp; W Capital'!$D$18))*$C154*G$149)</f>
        <v>0</v>
      </c>
      <c r="H154" s="80">
        <f>(((F141*(1-'5.Closing Stock &amp; W Capital'!$D$18))+(E141*'5.Closing Stock &amp; W Capital'!$D$18))*$C154*H$149)</f>
        <v>0</v>
      </c>
      <c r="I154" s="80">
        <f>(((G141*(1-'5.Closing Stock &amp; W Capital'!$D$18))+(F141*'5.Closing Stock &amp; W Capital'!$D$18))*$C154*I$149)</f>
        <v>0</v>
      </c>
      <c r="J154" s="80">
        <f>(((H141*(1-'5.Closing Stock &amp; W Capital'!$D$18))+(G141*'5.Closing Stock &amp; W Capital'!$D$18))*$C154*J$149)</f>
        <v>0</v>
      </c>
    </row>
    <row r="155" spans="1:10" ht="15.75" customHeight="1">
      <c r="A155" s="78" t="str">
        <f t="shared" si="26"/>
        <v>Pomegranate Juice</v>
      </c>
      <c r="B155" s="50" t="s">
        <v>705</v>
      </c>
      <c r="C155" s="50">
        <v>40</v>
      </c>
      <c r="D155" s="80">
        <f>(B142*(1-'5.Closing Stock &amp; W Capital'!$D$18)*$C155*D$149)</f>
        <v>0</v>
      </c>
      <c r="E155" s="80">
        <f>(((C142*(1-'5.Closing Stock &amp; W Capital'!$D$18))+(B142*'5.Closing Stock &amp; W Capital'!$D$18))*$C155*E$149)</f>
        <v>0</v>
      </c>
      <c r="F155" s="80">
        <f>(((D142*(1-'5.Closing Stock &amp; W Capital'!$D$18))+(C142*'5.Closing Stock &amp; W Capital'!$D$18))*$C155*F$149)</f>
        <v>0</v>
      </c>
      <c r="G155" s="80">
        <f>(((E142*(1-'5.Closing Stock &amp; W Capital'!$D$18))+(D142*'5.Closing Stock &amp; W Capital'!$D$18))*$C155*G$149)</f>
        <v>0</v>
      </c>
      <c r="H155" s="80">
        <f>(((F142*(1-'5.Closing Stock &amp; W Capital'!$D$18))+(E142*'5.Closing Stock &amp; W Capital'!$D$18))*$C155*H$149)</f>
        <v>0</v>
      </c>
      <c r="I155" s="80">
        <f>(((G142*(1-'5.Closing Stock &amp; W Capital'!$D$18))+(F142*'5.Closing Stock &amp; W Capital'!$D$18))*$C155*I$149)</f>
        <v>0</v>
      </c>
      <c r="J155" s="80">
        <f>(((H142*(1-'5.Closing Stock &amp; W Capital'!$D$18))+(G142*'5.Closing Stock &amp; W Capital'!$D$18))*$C155*J$149)</f>
        <v>0</v>
      </c>
    </row>
    <row r="156" spans="1:10" ht="15.75" customHeight="1">
      <c r="A156" s="78" t="str">
        <f t="shared" si="26"/>
        <v>Pomegranate Powder</v>
      </c>
      <c r="B156" s="50" t="s">
        <v>618</v>
      </c>
      <c r="C156" s="50">
        <v>50</v>
      </c>
      <c r="D156" s="80">
        <f>(B143*(1-'5.Closing Stock &amp; W Capital'!$D$18)*$C156*D$149)</f>
        <v>0</v>
      </c>
      <c r="E156" s="80">
        <f>(((C143*(1-'5.Closing Stock &amp; W Capital'!$D$18))+(B143*'5.Closing Stock &amp; W Capital'!$D$18))*$C156*E$149)</f>
        <v>0</v>
      </c>
      <c r="F156" s="80">
        <f>(((D143*(1-'5.Closing Stock &amp; W Capital'!$D$18))+(C143*'5.Closing Stock &amp; W Capital'!$D$18))*$C156*F$149)</f>
        <v>0</v>
      </c>
      <c r="G156" s="80">
        <f>(((E143*(1-'5.Closing Stock &amp; W Capital'!$D$18))+(D143*'5.Closing Stock &amp; W Capital'!$D$18))*$C156*G$149)</f>
        <v>0</v>
      </c>
      <c r="H156" s="80">
        <f>(((F143*(1-'5.Closing Stock &amp; W Capital'!$D$18))+(E143*'5.Closing Stock &amp; W Capital'!$D$18))*$C156*H$149)</f>
        <v>0</v>
      </c>
      <c r="I156" s="80">
        <f>(((G143*(1-'5.Closing Stock &amp; W Capital'!$D$18))+(F143*'5.Closing Stock &amp; W Capital'!$D$18))*$C156*I$149)</f>
        <v>0</v>
      </c>
      <c r="J156" s="80">
        <f>(((H143*(1-'5.Closing Stock &amp; W Capital'!$D$18))+(G143*'5.Closing Stock &amp; W Capital'!$D$18))*$C156*J$149)</f>
        <v>0</v>
      </c>
    </row>
    <row r="157" spans="1:10" ht="15.75" customHeight="1">
      <c r="A157" s="78"/>
      <c r="B157" s="50"/>
      <c r="C157" s="50"/>
      <c r="D157" s="80"/>
      <c r="E157" s="80"/>
      <c r="F157" s="80"/>
      <c r="G157" s="80"/>
      <c r="H157" s="80"/>
      <c r="I157" s="80"/>
      <c r="J157" s="80"/>
    </row>
    <row r="158" spans="1:10" ht="15.75" customHeight="1">
      <c r="A158" s="78"/>
      <c r="B158" s="78"/>
      <c r="C158" s="78"/>
      <c r="D158" s="80"/>
      <c r="E158" s="80"/>
      <c r="F158" s="80"/>
      <c r="G158" s="80"/>
      <c r="H158" s="80"/>
      <c r="I158" s="80"/>
      <c r="J158" s="80"/>
    </row>
    <row r="159" spans="1:10" ht="15.75" customHeight="1">
      <c r="A159" s="81" t="s">
        <v>350</v>
      </c>
      <c r="B159" s="81"/>
      <c r="C159" s="81"/>
      <c r="D159" s="82">
        <f t="shared" ref="D159:J159" si="27">SUM(D154:D157)</f>
        <v>0</v>
      </c>
      <c r="E159" s="82">
        <f t="shared" si="27"/>
        <v>0</v>
      </c>
      <c r="F159" s="82">
        <f t="shared" si="27"/>
        <v>0</v>
      </c>
      <c r="G159" s="82">
        <f t="shared" si="27"/>
        <v>0</v>
      </c>
      <c r="H159" s="82">
        <f t="shared" si="27"/>
        <v>0</v>
      </c>
      <c r="I159" s="82">
        <f t="shared" si="27"/>
        <v>0</v>
      </c>
      <c r="J159" s="82">
        <f t="shared" si="27"/>
        <v>0</v>
      </c>
    </row>
    <row r="160" spans="1:10" ht="15.75" customHeight="1">
      <c r="A160" s="78"/>
      <c r="B160" s="78"/>
      <c r="C160" s="78"/>
      <c r="D160" s="80"/>
      <c r="E160" s="80"/>
      <c r="F160" s="80"/>
      <c r="G160" s="80"/>
      <c r="H160" s="80"/>
      <c r="I160" s="80"/>
      <c r="J160" s="80"/>
    </row>
    <row r="161" spans="1:10" ht="15.75" customHeight="1">
      <c r="A161" s="81" t="s">
        <v>590</v>
      </c>
      <c r="B161" s="81"/>
      <c r="C161" s="81"/>
      <c r="D161" s="80"/>
      <c r="E161" s="80"/>
      <c r="F161" s="80"/>
      <c r="G161" s="80"/>
      <c r="H161" s="80"/>
      <c r="I161" s="80"/>
      <c r="J161" s="80"/>
    </row>
    <row r="162" spans="1:10" ht="15.75" customHeight="1">
      <c r="A162" s="81" t="s">
        <v>358</v>
      </c>
      <c r="B162" s="81"/>
      <c r="C162" s="78"/>
      <c r="D162" s="80"/>
      <c r="E162" s="80"/>
      <c r="F162" s="80"/>
      <c r="G162" s="80"/>
      <c r="H162" s="80"/>
      <c r="I162" s="80"/>
      <c r="J162" s="80"/>
    </row>
    <row r="163" spans="1:10" ht="15.75" customHeight="1">
      <c r="A163" s="78" t="s">
        <v>706</v>
      </c>
      <c r="B163" s="50" t="s">
        <v>588</v>
      </c>
      <c r="C163" s="79"/>
      <c r="D163" s="80">
        <f t="shared" ref="D163:J163" si="28">B62*$C163*D$149</f>
        <v>0</v>
      </c>
      <c r="E163" s="80">
        <f t="shared" si="28"/>
        <v>0</v>
      </c>
      <c r="F163" s="80">
        <f t="shared" si="28"/>
        <v>0</v>
      </c>
      <c r="G163" s="80">
        <f t="shared" si="28"/>
        <v>0</v>
      </c>
      <c r="H163" s="80">
        <f t="shared" si="28"/>
        <v>0</v>
      </c>
      <c r="I163" s="80">
        <f t="shared" si="28"/>
        <v>0</v>
      </c>
      <c r="J163" s="80">
        <f t="shared" si="28"/>
        <v>0</v>
      </c>
    </row>
    <row r="164" spans="1:10" ht="15.75" customHeight="1">
      <c r="A164" s="78" t="s">
        <v>707</v>
      </c>
      <c r="B164" s="50" t="s">
        <v>588</v>
      </c>
      <c r="C164" s="50"/>
      <c r="D164" s="80">
        <f t="shared" ref="D164:J164" si="29">(B62*10%)*$C164*D$149</f>
        <v>0</v>
      </c>
      <c r="E164" s="80">
        <f t="shared" si="29"/>
        <v>0</v>
      </c>
      <c r="F164" s="80">
        <f t="shared" si="29"/>
        <v>0</v>
      </c>
      <c r="G164" s="80">
        <f t="shared" si="29"/>
        <v>0</v>
      </c>
      <c r="H164" s="80">
        <f t="shared" si="29"/>
        <v>0</v>
      </c>
      <c r="I164" s="80">
        <f t="shared" si="29"/>
        <v>0</v>
      </c>
      <c r="J164" s="80">
        <f t="shared" si="29"/>
        <v>0</v>
      </c>
    </row>
    <row r="165" spans="1:10" ht="15.75" customHeight="1">
      <c r="A165" s="78" t="s">
        <v>622</v>
      </c>
      <c r="B165" s="50">
        <v>5</v>
      </c>
      <c r="C165" s="50"/>
      <c r="D165" s="80">
        <f t="shared" ref="D165:J165" si="30">B12*$B$165*$C$165*D149</f>
        <v>0</v>
      </c>
      <c r="E165" s="80">
        <f t="shared" si="30"/>
        <v>0</v>
      </c>
      <c r="F165" s="80">
        <f t="shared" si="30"/>
        <v>0</v>
      </c>
      <c r="G165" s="80">
        <f t="shared" si="30"/>
        <v>0</v>
      </c>
      <c r="H165" s="80">
        <f t="shared" si="30"/>
        <v>0</v>
      </c>
      <c r="I165" s="80">
        <f t="shared" si="30"/>
        <v>0</v>
      </c>
      <c r="J165" s="80">
        <f t="shared" si="30"/>
        <v>0</v>
      </c>
    </row>
    <row r="166" spans="1:10" ht="15.75" customHeight="1">
      <c r="A166" s="78" t="s">
        <v>592</v>
      </c>
      <c r="B166" s="78">
        <f>'2.Capex Details'!H61*0.746*8</f>
        <v>0</v>
      </c>
      <c r="C166" s="50"/>
      <c r="D166" s="80">
        <f t="shared" ref="D166:J166" si="31">$B$166*$C$166*B12*D149</f>
        <v>0</v>
      </c>
      <c r="E166" s="80">
        <f t="shared" si="31"/>
        <v>0</v>
      </c>
      <c r="F166" s="80">
        <f t="shared" si="31"/>
        <v>0</v>
      </c>
      <c r="G166" s="80">
        <f t="shared" si="31"/>
        <v>0</v>
      </c>
      <c r="H166" s="80">
        <f t="shared" si="31"/>
        <v>0</v>
      </c>
      <c r="I166" s="80">
        <f t="shared" si="31"/>
        <v>0</v>
      </c>
      <c r="J166" s="80">
        <f t="shared" si="31"/>
        <v>0</v>
      </c>
    </row>
    <row r="167" spans="1:10" ht="15.75" customHeight="1">
      <c r="A167" s="78" t="s">
        <v>623</v>
      </c>
      <c r="B167" s="78" t="s">
        <v>588</v>
      </c>
      <c r="C167" s="50"/>
      <c r="D167" s="80">
        <f t="shared" ref="D167:J167" si="32">B62*$C167*D$149</f>
        <v>0</v>
      </c>
      <c r="E167" s="80">
        <f t="shared" si="32"/>
        <v>0</v>
      </c>
      <c r="F167" s="80">
        <f t="shared" si="32"/>
        <v>0</v>
      </c>
      <c r="G167" s="80">
        <f t="shared" si="32"/>
        <v>0</v>
      </c>
      <c r="H167" s="80">
        <f t="shared" si="32"/>
        <v>0</v>
      </c>
      <c r="I167" s="80">
        <f t="shared" si="32"/>
        <v>0</v>
      </c>
      <c r="J167" s="80">
        <f t="shared" si="32"/>
        <v>0</v>
      </c>
    </row>
    <row r="168" spans="1:10" ht="15.75" customHeight="1">
      <c r="A168" s="197" t="s">
        <v>624</v>
      </c>
      <c r="B168" s="197"/>
      <c r="C168" s="279"/>
      <c r="D168" s="80">
        <f t="shared" ref="D168:J168" si="33">SUM(B141:B143)*$C$168*D$149</f>
        <v>0</v>
      </c>
      <c r="E168" s="80">
        <f t="shared" si="33"/>
        <v>0</v>
      </c>
      <c r="F168" s="80">
        <f t="shared" si="33"/>
        <v>0</v>
      </c>
      <c r="G168" s="80">
        <f t="shared" si="33"/>
        <v>0</v>
      </c>
      <c r="H168" s="80">
        <f t="shared" si="33"/>
        <v>0</v>
      </c>
      <c r="I168" s="80">
        <f t="shared" si="33"/>
        <v>0</v>
      </c>
      <c r="J168" s="80">
        <f t="shared" si="33"/>
        <v>0</v>
      </c>
    </row>
    <row r="169" spans="1:10" ht="15.75" customHeight="1">
      <c r="A169" s="78" t="s">
        <v>625</v>
      </c>
      <c r="B169" s="78"/>
      <c r="C169" s="50"/>
      <c r="D169" s="80">
        <f t="shared" ref="D169:J169" si="34">SUM(B141:B143)*$C$169*D$149</f>
        <v>0</v>
      </c>
      <c r="E169" s="80">
        <f t="shared" si="34"/>
        <v>0</v>
      </c>
      <c r="F169" s="80">
        <f t="shared" si="34"/>
        <v>0</v>
      </c>
      <c r="G169" s="80">
        <f t="shared" si="34"/>
        <v>0</v>
      </c>
      <c r="H169" s="80">
        <f t="shared" si="34"/>
        <v>0</v>
      </c>
      <c r="I169" s="80">
        <f t="shared" si="34"/>
        <v>0</v>
      </c>
      <c r="J169" s="80">
        <f t="shared" si="34"/>
        <v>0</v>
      </c>
    </row>
    <row r="170" spans="1:10" ht="15.75" customHeight="1">
      <c r="A170" s="140"/>
      <c r="B170" s="140"/>
      <c r="C170" s="140"/>
      <c r="D170" s="140"/>
      <c r="E170" s="140"/>
      <c r="F170" s="140"/>
      <c r="G170" s="140"/>
      <c r="H170" s="140"/>
      <c r="I170" s="140"/>
      <c r="J170" s="140"/>
    </row>
    <row r="171" spans="1:10" ht="15.75" customHeight="1">
      <c r="A171" s="140"/>
      <c r="B171" s="140"/>
      <c r="C171" s="140"/>
      <c r="D171" s="140"/>
      <c r="E171" s="140"/>
      <c r="F171" s="140"/>
      <c r="G171" s="140"/>
      <c r="H171" s="140"/>
      <c r="I171" s="140"/>
      <c r="J171" s="140"/>
    </row>
    <row r="172" spans="1:10" ht="15.75" customHeight="1">
      <c r="A172" s="140"/>
      <c r="B172" s="140"/>
      <c r="C172" s="140"/>
      <c r="D172" s="140"/>
      <c r="E172" s="140"/>
      <c r="F172" s="140"/>
      <c r="G172" s="140"/>
      <c r="H172" s="140"/>
      <c r="I172" s="140"/>
      <c r="J172" s="140"/>
    </row>
    <row r="173" spans="1:10" ht="15.75" customHeight="1">
      <c r="A173" s="140"/>
      <c r="B173" s="140"/>
      <c r="C173" s="140"/>
      <c r="D173" s="140"/>
      <c r="E173" s="140"/>
      <c r="F173" s="140"/>
      <c r="G173" s="140"/>
      <c r="H173" s="140"/>
      <c r="I173" s="140"/>
      <c r="J173" s="140"/>
    </row>
    <row r="174" spans="1:10" ht="15.75" customHeight="1">
      <c r="A174" s="80" t="s">
        <v>595</v>
      </c>
      <c r="B174" s="80"/>
      <c r="C174" s="80"/>
      <c r="D174" s="80"/>
      <c r="E174" s="80">
        <f>'5.Closing Stock &amp; W Capital'!F8</f>
        <v>5074940.9523809524</v>
      </c>
      <c r="F174" s="80">
        <f>'5.Closing Stock &amp; W Capital'!G8</f>
        <v>6223317.5</v>
      </c>
      <c r="G174" s="80">
        <f>'5.Closing Stock &amp; W Capital'!H8</f>
        <v>6534483.375</v>
      </c>
      <c r="H174" s="80">
        <f>'5.Closing Stock &amp; W Capital'!I8</f>
        <v>6861207.543750002</v>
      </c>
      <c r="I174" s="80">
        <f>'5.Closing Stock &amp; W Capital'!J8</f>
        <v>7204267.9209375009</v>
      </c>
      <c r="J174" s="80">
        <f>'5.Closing Stock &amp; W Capital'!K8</f>
        <v>7564481.3169843769</v>
      </c>
    </row>
    <row r="175" spans="1:10" ht="15.75" customHeight="1">
      <c r="A175" s="80" t="s">
        <v>596</v>
      </c>
      <c r="B175" s="80"/>
      <c r="C175" s="80"/>
      <c r="D175" s="80">
        <f>'5.Closing Stock &amp; W Capital'!E17</f>
        <v>5074940.9523809524</v>
      </c>
      <c r="E175" s="80">
        <f>'5.Closing Stock &amp; W Capital'!F17</f>
        <v>6223317.5</v>
      </c>
      <c r="F175" s="80">
        <f>'5.Closing Stock &amp; W Capital'!G17</f>
        <v>6534483.375</v>
      </c>
      <c r="G175" s="80">
        <f>'5.Closing Stock &amp; W Capital'!H17</f>
        <v>6861207.543750002</v>
      </c>
      <c r="H175" s="80">
        <f>'5.Closing Stock &amp; W Capital'!I17</f>
        <v>7204267.9209375009</v>
      </c>
      <c r="I175" s="80">
        <f>'5.Closing Stock &amp; W Capital'!J17</f>
        <v>7564481.3169843769</v>
      </c>
      <c r="J175" s="80">
        <f>'5.Closing Stock &amp; W Capital'!K17</f>
        <v>7942705.3828335963</v>
      </c>
    </row>
    <row r="176" spans="1:10" ht="15.75" customHeight="1">
      <c r="A176" s="80"/>
      <c r="B176" s="80"/>
      <c r="C176" s="80"/>
      <c r="D176" s="80"/>
      <c r="E176" s="80"/>
      <c r="F176" s="80"/>
      <c r="G176" s="80"/>
      <c r="H176" s="80"/>
      <c r="I176" s="80"/>
      <c r="J176" s="80"/>
    </row>
    <row r="177" spans="1:10" ht="15.75" customHeight="1">
      <c r="A177" s="82" t="s">
        <v>359</v>
      </c>
      <c r="B177" s="80"/>
      <c r="C177" s="80"/>
      <c r="D177" s="82">
        <f t="shared" ref="D177:J177" si="35">SUM(D163:D174)-D175</f>
        <v>-5074940.9523809524</v>
      </c>
      <c r="E177" s="82">
        <f t="shared" si="35"/>
        <v>-1148376.5476190476</v>
      </c>
      <c r="F177" s="82">
        <f t="shared" si="35"/>
        <v>-311165.875</v>
      </c>
      <c r="G177" s="82">
        <f t="shared" si="35"/>
        <v>-326724.16875000205</v>
      </c>
      <c r="H177" s="82">
        <f t="shared" si="35"/>
        <v>-343060.37718749885</v>
      </c>
      <c r="I177" s="82">
        <f t="shared" si="35"/>
        <v>-360213.39604687598</v>
      </c>
      <c r="J177" s="82">
        <f t="shared" si="35"/>
        <v>-378224.06584921945</v>
      </c>
    </row>
    <row r="178" spans="1:10" ht="15.75" customHeight="1">
      <c r="A178" s="73"/>
      <c r="B178" s="73"/>
      <c r="C178" s="73"/>
      <c r="D178" s="73"/>
      <c r="E178" s="73"/>
      <c r="F178" s="73"/>
      <c r="G178" s="73"/>
      <c r="H178" s="73"/>
      <c r="I178" s="73"/>
      <c r="J178" s="73"/>
    </row>
    <row r="179" spans="1:10" ht="15.75" customHeight="1">
      <c r="A179" s="193" t="s">
        <v>360</v>
      </c>
      <c r="B179" s="193"/>
      <c r="C179" s="193"/>
      <c r="D179" s="82"/>
      <c r="E179" s="82"/>
      <c r="F179" s="82"/>
      <c r="G179" s="82"/>
      <c r="H179" s="82"/>
      <c r="I179" s="82"/>
      <c r="J179" s="82"/>
    </row>
    <row r="180" spans="1:10" ht="15.75" customHeight="1">
      <c r="A180" s="78" t="s">
        <v>597</v>
      </c>
      <c r="B180" s="50">
        <v>1</v>
      </c>
      <c r="C180" s="79"/>
      <c r="D180" s="80">
        <f t="shared" ref="D180:J180" si="36">$B$180*$C$180*12*D149</f>
        <v>0</v>
      </c>
      <c r="E180" s="80">
        <f t="shared" si="36"/>
        <v>0</v>
      </c>
      <c r="F180" s="80">
        <f t="shared" si="36"/>
        <v>0</v>
      </c>
      <c r="G180" s="80">
        <f t="shared" si="36"/>
        <v>0</v>
      </c>
      <c r="H180" s="80">
        <f t="shared" si="36"/>
        <v>0</v>
      </c>
      <c r="I180" s="80">
        <f t="shared" si="36"/>
        <v>0</v>
      </c>
      <c r="J180" s="80">
        <f t="shared" si="36"/>
        <v>0</v>
      </c>
    </row>
    <row r="181" spans="1:10" ht="15.75" customHeight="1">
      <c r="A181" s="78" t="s">
        <v>691</v>
      </c>
      <c r="B181" s="50">
        <v>2</v>
      </c>
      <c r="C181" s="79"/>
      <c r="D181" s="80">
        <f t="shared" ref="D181:J181" si="37">$B$181*$C$181*12*D149</f>
        <v>0</v>
      </c>
      <c r="E181" s="80">
        <f t="shared" si="37"/>
        <v>0</v>
      </c>
      <c r="F181" s="80">
        <f t="shared" si="37"/>
        <v>0</v>
      </c>
      <c r="G181" s="80">
        <f t="shared" si="37"/>
        <v>0</v>
      </c>
      <c r="H181" s="80">
        <f t="shared" si="37"/>
        <v>0</v>
      </c>
      <c r="I181" s="80">
        <f t="shared" si="37"/>
        <v>0</v>
      </c>
      <c r="J181" s="80">
        <f t="shared" si="37"/>
        <v>0</v>
      </c>
    </row>
    <row r="182" spans="1:10" ht="15.75" customHeight="1">
      <c r="A182" s="78"/>
      <c r="B182" s="50"/>
      <c r="C182" s="79"/>
      <c r="D182" s="80"/>
      <c r="E182" s="80"/>
      <c r="F182" s="80"/>
      <c r="G182" s="80"/>
      <c r="H182" s="80"/>
      <c r="I182" s="80"/>
      <c r="J182" s="80"/>
    </row>
    <row r="183" spans="1:10" ht="15.75" customHeight="1">
      <c r="A183" s="78"/>
      <c r="B183" s="50"/>
      <c r="C183" s="79"/>
      <c r="D183" s="80"/>
      <c r="E183" s="80"/>
      <c r="F183" s="80"/>
      <c r="G183" s="80"/>
      <c r="H183" s="80"/>
      <c r="I183" s="80"/>
      <c r="J183" s="80"/>
    </row>
    <row r="184" spans="1:10" ht="15.75" customHeight="1">
      <c r="A184" s="78"/>
      <c r="B184" s="50"/>
      <c r="C184" s="79"/>
      <c r="D184" s="80"/>
      <c r="E184" s="80"/>
      <c r="F184" s="80"/>
      <c r="G184" s="80"/>
      <c r="H184" s="80"/>
      <c r="I184" s="80"/>
      <c r="J184" s="80"/>
    </row>
    <row r="185" spans="1:10" ht="15.75" customHeight="1">
      <c r="A185" s="81" t="s">
        <v>360</v>
      </c>
      <c r="B185" s="81"/>
      <c r="C185" s="81"/>
      <c r="D185" s="82">
        <f t="shared" ref="D185:J185" si="38">SUM(D180:D184)</f>
        <v>0</v>
      </c>
      <c r="E185" s="82">
        <f t="shared" si="38"/>
        <v>0</v>
      </c>
      <c r="F185" s="82">
        <f t="shared" si="38"/>
        <v>0</v>
      </c>
      <c r="G185" s="82">
        <f t="shared" si="38"/>
        <v>0</v>
      </c>
      <c r="H185" s="82">
        <f t="shared" si="38"/>
        <v>0</v>
      </c>
      <c r="I185" s="82">
        <f t="shared" si="38"/>
        <v>0</v>
      </c>
      <c r="J185" s="82">
        <f t="shared" si="38"/>
        <v>0</v>
      </c>
    </row>
    <row r="186" spans="1:10" ht="15.75" customHeight="1">
      <c r="A186" s="193" t="s">
        <v>626</v>
      </c>
      <c r="B186" s="193"/>
      <c r="C186" s="193"/>
      <c r="D186" s="82">
        <f t="shared" ref="D186:J186" si="39">D177+D185</f>
        <v>-5074940.9523809524</v>
      </c>
      <c r="E186" s="82">
        <f t="shared" si="39"/>
        <v>-1148376.5476190476</v>
      </c>
      <c r="F186" s="82">
        <f t="shared" si="39"/>
        <v>-311165.875</v>
      </c>
      <c r="G186" s="82">
        <f t="shared" si="39"/>
        <v>-326724.16875000205</v>
      </c>
      <c r="H186" s="82">
        <f t="shared" si="39"/>
        <v>-343060.37718749885</v>
      </c>
      <c r="I186" s="82">
        <f t="shared" si="39"/>
        <v>-360213.39604687598</v>
      </c>
      <c r="J186" s="82">
        <f t="shared" si="39"/>
        <v>-378224.06584921945</v>
      </c>
    </row>
    <row r="187" spans="1:10" ht="15.75" customHeight="1">
      <c r="A187" s="78"/>
      <c r="B187" s="78"/>
      <c r="C187" s="78"/>
      <c r="D187" s="80"/>
      <c r="E187" s="80"/>
      <c r="F187" s="80"/>
      <c r="G187" s="80"/>
      <c r="H187" s="80"/>
      <c r="I187" s="80"/>
      <c r="J187" s="80"/>
    </row>
    <row r="188" spans="1:10" ht="15.75" customHeight="1">
      <c r="A188" s="81" t="s">
        <v>407</v>
      </c>
      <c r="B188" s="81"/>
      <c r="C188" s="81"/>
      <c r="D188" s="82">
        <f t="shared" ref="D188:J188" si="40">D159-D186</f>
        <v>5074940.9523809524</v>
      </c>
      <c r="E188" s="82">
        <f t="shared" si="40"/>
        <v>1148376.5476190476</v>
      </c>
      <c r="F188" s="82">
        <f t="shared" si="40"/>
        <v>311165.875</v>
      </c>
      <c r="G188" s="82">
        <f t="shared" si="40"/>
        <v>326724.16875000205</v>
      </c>
      <c r="H188" s="82">
        <f t="shared" si="40"/>
        <v>343060.37718749885</v>
      </c>
      <c r="I188" s="82">
        <f t="shared" si="40"/>
        <v>360213.39604687598</v>
      </c>
      <c r="J188" s="82">
        <f t="shared" si="40"/>
        <v>378224.06584921945</v>
      </c>
    </row>
    <row r="189" spans="1:10" ht="15.75" customHeight="1">
      <c r="A189" s="98"/>
      <c r="B189" s="98"/>
      <c r="C189" s="98"/>
      <c r="D189" s="73"/>
      <c r="E189" s="73"/>
      <c r="F189" s="73"/>
      <c r="G189" s="73"/>
      <c r="H189" s="73"/>
      <c r="I189" s="73"/>
      <c r="J189" s="73"/>
    </row>
    <row r="190" spans="1:10" ht="15.75" customHeight="1">
      <c r="A190" s="73"/>
      <c r="B190" s="73"/>
      <c r="C190" s="73"/>
      <c r="D190" s="73"/>
      <c r="E190" s="73"/>
      <c r="F190" s="73"/>
      <c r="G190" s="73"/>
      <c r="H190" s="73"/>
      <c r="I190" s="73"/>
      <c r="J190" s="73"/>
    </row>
    <row r="191" spans="1:10" ht="15.75" customHeight="1">
      <c r="A191" s="73"/>
      <c r="B191" s="73"/>
      <c r="C191" s="73"/>
      <c r="D191" s="73"/>
      <c r="E191" s="73"/>
      <c r="F191" s="73"/>
      <c r="G191" s="73"/>
      <c r="H191" s="73"/>
      <c r="I191" s="73"/>
      <c r="J191" s="73"/>
    </row>
    <row r="192" spans="1:10" ht="15.75" customHeight="1">
      <c r="A192" s="396" t="s">
        <v>627</v>
      </c>
      <c r="B192" s="378"/>
      <c r="C192" s="378"/>
      <c r="D192" s="378"/>
      <c r="E192" s="378"/>
      <c r="F192" s="378"/>
      <c r="G192" s="378"/>
      <c r="H192" s="378"/>
      <c r="I192" s="378"/>
      <c r="J192" s="378"/>
    </row>
    <row r="193" spans="1:5" ht="15.75" customHeight="1"/>
    <row r="194" spans="1:5" ht="15.75" customHeight="1">
      <c r="A194" t="s">
        <v>314</v>
      </c>
    </row>
    <row r="195" spans="1:5" ht="15.75" customHeight="1">
      <c r="A195">
        <v>1</v>
      </c>
      <c r="B195" t="s">
        <v>602</v>
      </c>
    </row>
    <row r="196" spans="1:5" ht="15.75" customHeight="1">
      <c r="A196">
        <v>2</v>
      </c>
      <c r="B196" t="s">
        <v>603</v>
      </c>
      <c r="C196" s="160"/>
      <c r="D196" s="160"/>
      <c r="E196" s="160"/>
    </row>
    <row r="197" spans="1:5" ht="15.75" customHeight="1">
      <c r="A197">
        <v>3</v>
      </c>
      <c r="B197" s="73" t="s">
        <v>604</v>
      </c>
    </row>
  </sheetData>
  <mergeCells count="4">
    <mergeCell ref="A3:H3"/>
    <mergeCell ref="A147:J147"/>
    <mergeCell ref="A192:J192"/>
    <mergeCell ref="A4:H4"/>
  </mergeCells>
  <pageMargins left="0.7" right="0.7" top="0.75" bottom="0.75" header="0" footer="0"/>
  <pageSetup paperSize="9" orientation="portrait" r:id="rId1"/>
  <colBreaks count="1" manualBreakCount="1">
    <brk id="1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pane ySplit="7" topLeftCell="A45" activePane="bottomLeft" state="frozen"/>
      <selection pane="bottomLeft" activeCell="M47" sqref="M47"/>
    </sheetView>
  </sheetViews>
  <sheetFormatPr defaultRowHeight="15"/>
  <cols>
    <col min="1" max="1" width="3.42578125" style="294" customWidth="1"/>
    <col min="2" max="2" width="48" style="294" customWidth="1"/>
    <col min="3" max="3" width="6.42578125" style="294" customWidth="1"/>
    <col min="4" max="4" width="5.7109375" style="294" customWidth="1"/>
    <col min="5" max="5" width="8.140625" style="294" customWidth="1"/>
    <col min="6" max="7" width="7" style="294" customWidth="1"/>
    <col min="8" max="8" width="8.7109375" style="294" customWidth="1"/>
    <col min="9" max="9" width="5" style="294" customWidth="1"/>
    <col min="10" max="10" width="6.28515625" style="294" customWidth="1"/>
    <col min="11" max="11" width="4.7109375" style="294" customWidth="1"/>
    <col min="12" max="16384" width="9.140625" style="294"/>
  </cols>
  <sheetData>
    <row r="1" spans="1:11" ht="31.5" customHeight="1">
      <c r="A1" s="446" t="s">
        <v>722</v>
      </c>
      <c r="B1" s="446"/>
      <c r="C1" s="446"/>
      <c r="D1" s="446"/>
      <c r="E1" s="446"/>
      <c r="F1" s="446"/>
      <c r="G1" s="446"/>
      <c r="H1" s="446"/>
      <c r="I1" s="446"/>
      <c r="J1" s="446"/>
      <c r="K1" s="446"/>
    </row>
    <row r="2" spans="1:11" ht="17.25" customHeight="1">
      <c r="A2" s="447" t="s">
        <v>723</v>
      </c>
      <c r="B2" s="447"/>
      <c r="C2" s="447"/>
      <c r="D2" s="447"/>
      <c r="E2" s="447"/>
      <c r="F2" s="447"/>
      <c r="G2" s="447"/>
      <c r="H2" s="447"/>
      <c r="I2" s="447"/>
      <c r="J2" s="447"/>
      <c r="K2" s="447"/>
    </row>
    <row r="3" spans="1:11" ht="12.2" customHeight="1">
      <c r="A3" s="295" t="s">
        <v>724</v>
      </c>
      <c r="B3" s="448" t="s">
        <v>725</v>
      </c>
      <c r="C3" s="296" t="s">
        <v>726</v>
      </c>
      <c r="D3" s="296" t="s">
        <v>727</v>
      </c>
      <c r="E3" s="296" t="s">
        <v>728</v>
      </c>
      <c r="F3" s="451" t="s">
        <v>729</v>
      </c>
      <c r="G3" s="453" t="s">
        <v>730</v>
      </c>
      <c r="H3" s="448" t="s">
        <v>731</v>
      </c>
      <c r="I3" s="448" t="s">
        <v>732</v>
      </c>
      <c r="J3" s="297"/>
    </row>
    <row r="4" spans="1:11" ht="33.6" customHeight="1">
      <c r="A4" s="298" t="s">
        <v>733</v>
      </c>
      <c r="B4" s="449"/>
      <c r="C4" s="299" t="s">
        <v>733</v>
      </c>
      <c r="D4" s="299" t="s">
        <v>733</v>
      </c>
      <c r="E4" s="299" t="s">
        <v>734</v>
      </c>
      <c r="F4" s="452"/>
      <c r="G4" s="454"/>
      <c r="H4" s="449"/>
      <c r="I4" s="449"/>
      <c r="J4" s="448" t="s">
        <v>735</v>
      </c>
    </row>
    <row r="5" spans="1:11" ht="17.25" customHeight="1">
      <c r="A5" s="300"/>
      <c r="B5" s="449"/>
      <c r="C5" s="300"/>
      <c r="D5" s="300"/>
      <c r="E5" s="300"/>
      <c r="F5" s="300"/>
      <c r="G5" s="301">
        <v>0</v>
      </c>
      <c r="H5" s="449"/>
      <c r="I5" s="449"/>
      <c r="J5" s="449"/>
    </row>
    <row r="6" spans="1:11" ht="13.7" customHeight="1">
      <c r="A6" s="302"/>
      <c r="B6" s="450"/>
      <c r="C6" s="302"/>
      <c r="D6" s="302"/>
      <c r="E6" s="302"/>
      <c r="F6" s="303">
        <v>0.06</v>
      </c>
      <c r="G6" s="304" t="s">
        <v>736</v>
      </c>
      <c r="H6" s="450"/>
      <c r="I6" s="450"/>
      <c r="J6" s="450"/>
    </row>
    <row r="7" spans="1:11" ht="14.45" customHeight="1">
      <c r="A7" s="305">
        <v>1</v>
      </c>
      <c r="B7" s="306">
        <v>2</v>
      </c>
      <c r="C7" s="306">
        <v>3</v>
      </c>
      <c r="D7" s="306">
        <v>4</v>
      </c>
      <c r="E7" s="306">
        <v>5</v>
      </c>
      <c r="F7" s="306">
        <v>6</v>
      </c>
      <c r="G7" s="306">
        <v>7</v>
      </c>
      <c r="H7" s="307">
        <v>8</v>
      </c>
      <c r="I7" s="306">
        <v>9</v>
      </c>
      <c r="J7" s="308">
        <v>10</v>
      </c>
    </row>
    <row r="8" spans="1:11" ht="33.200000000000003" customHeight="1">
      <c r="A8" s="309">
        <v>1</v>
      </c>
      <c r="B8" s="296" t="s">
        <v>737</v>
      </c>
      <c r="C8" s="310">
        <v>21.02</v>
      </c>
      <c r="D8" s="311">
        <v>115</v>
      </c>
      <c r="E8" s="310">
        <v>193</v>
      </c>
      <c r="F8" s="310">
        <v>0</v>
      </c>
      <c r="G8" s="310">
        <v>0</v>
      </c>
      <c r="H8" s="310">
        <v>193</v>
      </c>
      <c r="I8" s="312" t="s">
        <v>738</v>
      </c>
      <c r="J8" s="313">
        <v>0</v>
      </c>
    </row>
    <row r="9" spans="1:11" ht="20.85" customHeight="1">
      <c r="A9" s="300"/>
      <c r="B9" s="314" t="s">
        <v>739</v>
      </c>
      <c r="C9" s="300"/>
      <c r="D9" s="300"/>
      <c r="E9" s="300"/>
      <c r="F9" s="300"/>
      <c r="G9" s="300"/>
      <c r="H9" s="300"/>
      <c r="I9" s="300"/>
      <c r="J9" s="300"/>
    </row>
    <row r="10" spans="1:11" ht="41.85" customHeight="1">
      <c r="A10" s="301">
        <v>2</v>
      </c>
      <c r="B10" s="315" t="s">
        <v>740</v>
      </c>
      <c r="C10" s="316">
        <v>21.04</v>
      </c>
      <c r="D10" s="317">
        <v>115</v>
      </c>
      <c r="E10" s="316">
        <v>241</v>
      </c>
      <c r="F10" s="316">
        <v>0</v>
      </c>
      <c r="G10" s="316">
        <v>0</v>
      </c>
      <c r="H10" s="316">
        <v>241</v>
      </c>
      <c r="I10" s="318" t="s">
        <v>738</v>
      </c>
      <c r="J10" s="319">
        <v>0</v>
      </c>
    </row>
    <row r="11" spans="1:11" ht="29.25" customHeight="1">
      <c r="A11" s="300"/>
      <c r="B11" s="314" t="s">
        <v>741</v>
      </c>
      <c r="C11" s="300"/>
      <c r="D11" s="300"/>
      <c r="E11" s="300"/>
      <c r="F11" s="300"/>
      <c r="G11" s="300"/>
      <c r="H11" s="300"/>
      <c r="I11" s="300"/>
      <c r="J11" s="300"/>
    </row>
    <row r="12" spans="1:11" ht="43.5" customHeight="1">
      <c r="A12" s="301">
        <v>3</v>
      </c>
      <c r="B12" s="299" t="s">
        <v>742</v>
      </c>
      <c r="C12" s="461" t="s">
        <v>743</v>
      </c>
      <c r="D12" s="462"/>
      <c r="E12" s="319">
        <v>163.69</v>
      </c>
      <c r="F12" s="319">
        <v>0</v>
      </c>
      <c r="G12" s="319">
        <v>0</v>
      </c>
      <c r="H12" s="320">
        <v>163.69</v>
      </c>
      <c r="I12" s="318" t="s">
        <v>738</v>
      </c>
      <c r="J12" s="319">
        <v>0</v>
      </c>
    </row>
    <row r="13" spans="1:11" ht="16.5" customHeight="1">
      <c r="A13" s="321"/>
      <c r="B13" s="314" t="s">
        <v>744</v>
      </c>
      <c r="C13" s="321"/>
      <c r="D13" s="321"/>
      <c r="E13" s="321"/>
      <c r="F13" s="321"/>
      <c r="G13" s="321"/>
      <c r="H13" s="321"/>
      <c r="I13" s="321"/>
      <c r="J13" s="321"/>
    </row>
    <row r="14" spans="1:11" ht="45.95" customHeight="1">
      <c r="A14" s="301">
        <v>4</v>
      </c>
      <c r="B14" s="299" t="s">
        <v>745</v>
      </c>
      <c r="C14" s="322">
        <v>21.23</v>
      </c>
      <c r="D14" s="323">
        <v>116</v>
      </c>
      <c r="E14" s="322">
        <v>97</v>
      </c>
      <c r="F14" s="322">
        <v>0</v>
      </c>
      <c r="G14" s="322">
        <v>0</v>
      </c>
      <c r="H14" s="322">
        <v>97</v>
      </c>
      <c r="I14" s="324" t="s">
        <v>746</v>
      </c>
      <c r="J14" s="325">
        <v>0</v>
      </c>
    </row>
    <row r="15" spans="1:11" ht="48.95" customHeight="1">
      <c r="A15" s="301">
        <v>5</v>
      </c>
      <c r="B15" s="299" t="s">
        <v>747</v>
      </c>
      <c r="C15" s="316">
        <v>21.24</v>
      </c>
      <c r="D15" s="317">
        <v>117</v>
      </c>
      <c r="E15" s="316">
        <v>94</v>
      </c>
      <c r="F15" s="316">
        <v>0</v>
      </c>
      <c r="G15" s="316">
        <v>0</v>
      </c>
      <c r="H15" s="316">
        <v>94</v>
      </c>
      <c r="I15" s="318" t="s">
        <v>746</v>
      </c>
      <c r="J15" s="319">
        <v>0</v>
      </c>
    </row>
    <row r="16" spans="1:11" ht="56.1" customHeight="1">
      <c r="A16" s="326">
        <v>6</v>
      </c>
      <c r="B16" s="304" t="s">
        <v>748</v>
      </c>
      <c r="C16" s="327">
        <v>21.25</v>
      </c>
      <c r="D16" s="328">
        <v>117</v>
      </c>
      <c r="E16" s="327">
        <v>153</v>
      </c>
      <c r="F16" s="327">
        <v>0</v>
      </c>
      <c r="G16" s="327">
        <v>0</v>
      </c>
      <c r="H16" s="327">
        <v>153</v>
      </c>
      <c r="I16" s="329" t="s">
        <v>746</v>
      </c>
      <c r="J16" s="330">
        <v>0</v>
      </c>
    </row>
    <row r="17" spans="1:10" ht="39.200000000000003" customHeight="1">
      <c r="A17" s="309">
        <v>7</v>
      </c>
      <c r="B17" s="296" t="s">
        <v>749</v>
      </c>
      <c r="C17" s="310">
        <v>21.37</v>
      </c>
      <c r="D17" s="311">
        <v>117</v>
      </c>
      <c r="E17" s="310">
        <v>550</v>
      </c>
      <c r="F17" s="310">
        <v>0</v>
      </c>
      <c r="G17" s="310">
        <v>0</v>
      </c>
      <c r="H17" s="310">
        <v>550</v>
      </c>
      <c r="I17" s="312" t="s">
        <v>738</v>
      </c>
      <c r="J17" s="296" t="s">
        <v>750</v>
      </c>
    </row>
    <row r="18" spans="1:10" ht="55.7" customHeight="1">
      <c r="A18" s="301">
        <v>8</v>
      </c>
      <c r="B18" s="299" t="s">
        <v>751</v>
      </c>
      <c r="C18" s="331">
        <v>21.4</v>
      </c>
      <c r="D18" s="332">
        <v>118</v>
      </c>
      <c r="E18" s="333">
        <v>1322</v>
      </c>
      <c r="F18" s="331">
        <v>0</v>
      </c>
      <c r="G18" s="331">
        <v>0</v>
      </c>
      <c r="H18" s="331">
        <v>1322</v>
      </c>
      <c r="I18" s="334" t="s">
        <v>738</v>
      </c>
      <c r="J18" s="335" t="s">
        <v>752</v>
      </c>
    </row>
    <row r="19" spans="1:10" ht="40.35" customHeight="1">
      <c r="A19" s="315"/>
      <c r="B19" s="315"/>
      <c r="C19" s="315"/>
      <c r="D19" s="315"/>
      <c r="E19" s="315"/>
      <c r="F19" s="315"/>
      <c r="G19" s="315"/>
      <c r="H19" s="315"/>
      <c r="I19" s="315"/>
      <c r="J19" s="298" t="s">
        <v>753</v>
      </c>
    </row>
    <row r="20" spans="1:10" ht="51" customHeight="1">
      <c r="A20" s="301">
        <v>9</v>
      </c>
      <c r="B20" s="299" t="s">
        <v>754</v>
      </c>
      <c r="C20" s="333">
        <v>24.08</v>
      </c>
      <c r="D20" s="336">
        <v>131</v>
      </c>
      <c r="E20" s="337">
        <v>6030</v>
      </c>
      <c r="F20" s="337">
        <v>0</v>
      </c>
      <c r="G20" s="337">
        <v>0</v>
      </c>
      <c r="H20" s="331">
        <v>6030</v>
      </c>
      <c r="I20" s="334" t="s">
        <v>738</v>
      </c>
      <c r="J20" s="338" t="s">
        <v>755</v>
      </c>
    </row>
    <row r="21" spans="1:10" ht="14.45" customHeight="1">
      <c r="A21" s="339">
        <v>1</v>
      </c>
      <c r="B21" s="340">
        <v>2</v>
      </c>
      <c r="C21" s="340">
        <v>3</v>
      </c>
      <c r="D21" s="340">
        <v>4</v>
      </c>
      <c r="E21" s="340">
        <v>5</v>
      </c>
      <c r="F21" s="340">
        <v>6</v>
      </c>
      <c r="G21" s="340">
        <v>7</v>
      </c>
      <c r="H21" s="341">
        <v>8</v>
      </c>
      <c r="I21" s="340">
        <v>9</v>
      </c>
      <c r="J21" s="342">
        <v>10</v>
      </c>
    </row>
    <row r="22" spans="1:10" ht="34.5" customHeight="1">
      <c r="A22" s="463">
        <v>10</v>
      </c>
      <c r="B22" s="466" t="s">
        <v>756</v>
      </c>
      <c r="C22" s="469">
        <v>25.13</v>
      </c>
      <c r="D22" s="472">
        <v>133</v>
      </c>
      <c r="E22" s="475">
        <v>6836</v>
      </c>
      <c r="F22" s="480">
        <v>0</v>
      </c>
      <c r="G22" s="480">
        <v>0</v>
      </c>
      <c r="H22" s="475">
        <v>6836</v>
      </c>
      <c r="I22" s="455"/>
      <c r="J22" s="296" t="s">
        <v>757</v>
      </c>
    </row>
    <row r="23" spans="1:10" ht="28.5" customHeight="1">
      <c r="A23" s="464"/>
      <c r="B23" s="467"/>
      <c r="C23" s="470"/>
      <c r="D23" s="473"/>
      <c r="E23" s="476"/>
      <c r="F23" s="481"/>
      <c r="G23" s="481"/>
      <c r="H23" s="476"/>
      <c r="I23" s="456"/>
      <c r="J23" s="343" t="s">
        <v>753</v>
      </c>
    </row>
    <row r="24" spans="1:10" ht="14.45" customHeight="1">
      <c r="A24" s="464"/>
      <c r="B24" s="467"/>
      <c r="C24" s="470"/>
      <c r="D24" s="473"/>
      <c r="E24" s="476"/>
      <c r="F24" s="481"/>
      <c r="G24" s="481"/>
      <c r="H24" s="476"/>
      <c r="I24" s="457" t="s">
        <v>758</v>
      </c>
      <c r="J24" s="458"/>
    </row>
    <row r="25" spans="1:10" ht="74.25" customHeight="1">
      <c r="A25" s="464"/>
      <c r="B25" s="467"/>
      <c r="C25" s="470"/>
      <c r="D25" s="473"/>
      <c r="E25" s="476"/>
      <c r="F25" s="481"/>
      <c r="G25" s="481"/>
      <c r="H25" s="476"/>
      <c r="I25" s="459" t="s">
        <v>738</v>
      </c>
      <c r="J25" s="344" t="s">
        <v>755</v>
      </c>
    </row>
    <row r="26" spans="1:10" ht="34.700000000000003" customHeight="1">
      <c r="A26" s="464"/>
      <c r="B26" s="467"/>
      <c r="C26" s="470"/>
      <c r="D26" s="473"/>
      <c r="E26" s="476"/>
      <c r="F26" s="481"/>
      <c r="G26" s="481"/>
      <c r="H26" s="476"/>
      <c r="I26" s="459"/>
      <c r="J26" s="315" t="s">
        <v>759</v>
      </c>
    </row>
    <row r="27" spans="1:10" ht="15.2" customHeight="1">
      <c r="A27" s="464"/>
      <c r="B27" s="467"/>
      <c r="C27" s="470"/>
      <c r="D27" s="473"/>
      <c r="E27" s="476"/>
      <c r="F27" s="481"/>
      <c r="G27" s="481"/>
      <c r="H27" s="476"/>
      <c r="I27" s="459"/>
      <c r="J27" s="298" t="s">
        <v>753</v>
      </c>
    </row>
    <row r="28" spans="1:10" ht="28.35" customHeight="1">
      <c r="A28" s="465"/>
      <c r="B28" s="468"/>
      <c r="C28" s="471"/>
      <c r="D28" s="474"/>
      <c r="E28" s="477"/>
      <c r="F28" s="482"/>
      <c r="G28" s="482"/>
      <c r="H28" s="477"/>
      <c r="I28" s="460"/>
      <c r="J28" s="345" t="s">
        <v>760</v>
      </c>
    </row>
    <row r="29" spans="1:10" ht="52.5" customHeight="1">
      <c r="A29" s="309">
        <v>11</v>
      </c>
      <c r="B29" s="346" t="s">
        <v>761</v>
      </c>
      <c r="C29" s="347">
        <v>25.11</v>
      </c>
      <c r="D29" s="348">
        <v>133</v>
      </c>
      <c r="E29" s="349">
        <v>6666</v>
      </c>
      <c r="F29" s="349">
        <v>0</v>
      </c>
      <c r="G29" s="349">
        <v>0</v>
      </c>
      <c r="H29" s="350">
        <v>6666</v>
      </c>
      <c r="I29" s="351" t="s">
        <v>738</v>
      </c>
      <c r="J29" s="352" t="s">
        <v>755</v>
      </c>
    </row>
    <row r="30" spans="1:10" ht="38.25" customHeight="1">
      <c r="A30" s="315"/>
      <c r="B30" s="315"/>
      <c r="C30" s="315"/>
      <c r="D30" s="315"/>
      <c r="E30" s="478" t="s">
        <v>762</v>
      </c>
      <c r="F30" s="479"/>
      <c r="G30" s="315"/>
      <c r="H30" s="315"/>
      <c r="I30" s="315"/>
      <c r="J30" s="315" t="s">
        <v>759</v>
      </c>
    </row>
    <row r="31" spans="1:10" ht="15.6" customHeight="1">
      <c r="A31" s="300"/>
      <c r="B31" s="300"/>
      <c r="C31" s="300"/>
      <c r="D31" s="300"/>
      <c r="E31" s="300"/>
      <c r="F31" s="300"/>
      <c r="G31" s="300"/>
      <c r="H31" s="300"/>
      <c r="I31" s="300"/>
      <c r="J31" s="298" t="s">
        <v>753</v>
      </c>
    </row>
    <row r="32" spans="1:10" ht="45.6" customHeight="1">
      <c r="A32" s="315"/>
      <c r="B32" s="315"/>
      <c r="C32" s="315"/>
      <c r="D32" s="315"/>
      <c r="E32" s="315"/>
      <c r="F32" s="315"/>
      <c r="G32" s="315"/>
      <c r="H32" s="315"/>
      <c r="I32" s="315"/>
      <c r="J32" s="298" t="s">
        <v>760</v>
      </c>
    </row>
    <row r="33" spans="1:11" ht="66.75" customHeight="1">
      <c r="A33" s="301">
        <v>12</v>
      </c>
      <c r="B33" s="315" t="s">
        <v>763</v>
      </c>
      <c r="C33" s="333">
        <v>25.33</v>
      </c>
      <c r="D33" s="336">
        <v>134</v>
      </c>
      <c r="E33" s="337">
        <v>13157</v>
      </c>
      <c r="F33" s="337">
        <v>0</v>
      </c>
      <c r="G33" s="337">
        <v>0</v>
      </c>
      <c r="H33" s="353">
        <v>13157</v>
      </c>
      <c r="I33" s="334" t="s">
        <v>738</v>
      </c>
      <c r="J33" s="338" t="s">
        <v>755</v>
      </c>
    </row>
    <row r="34" spans="1:11" ht="34.35" customHeight="1">
      <c r="A34" s="315"/>
      <c r="B34" s="315"/>
      <c r="C34" s="315"/>
      <c r="D34" s="315"/>
      <c r="E34" s="315"/>
      <c r="F34" s="315"/>
      <c r="G34" s="315"/>
      <c r="H34" s="315"/>
      <c r="I34" s="315"/>
      <c r="J34" s="315" t="s">
        <v>759</v>
      </c>
    </row>
    <row r="35" spans="1:11" ht="15.2" customHeight="1">
      <c r="A35" s="300"/>
      <c r="B35" s="300"/>
      <c r="C35" s="300"/>
      <c r="D35" s="300"/>
      <c r="E35" s="300"/>
      <c r="F35" s="300"/>
      <c r="G35" s="300"/>
      <c r="H35" s="300"/>
      <c r="I35" s="300"/>
      <c r="J35" s="298" t="s">
        <v>753</v>
      </c>
    </row>
    <row r="36" spans="1:11" ht="48" customHeight="1">
      <c r="A36" s="315"/>
      <c r="B36" s="354" t="s">
        <v>764</v>
      </c>
      <c r="C36" s="315"/>
      <c r="D36" s="315"/>
      <c r="E36" s="355">
        <v>131.57</v>
      </c>
      <c r="F36" s="315"/>
      <c r="G36" s="315"/>
      <c r="H36" s="315"/>
      <c r="I36" s="315"/>
      <c r="J36" s="298" t="s">
        <v>760</v>
      </c>
    </row>
    <row r="37" spans="1:11" ht="53.25" customHeight="1">
      <c r="A37" s="301">
        <v>13</v>
      </c>
      <c r="B37" s="456" t="s">
        <v>765</v>
      </c>
      <c r="C37" s="333">
        <v>25.52</v>
      </c>
      <c r="D37" s="336">
        <v>135</v>
      </c>
      <c r="E37" s="337">
        <v>11652</v>
      </c>
      <c r="F37" s="337">
        <v>0</v>
      </c>
      <c r="G37" s="337">
        <v>0</v>
      </c>
      <c r="H37" s="353">
        <v>11652</v>
      </c>
      <c r="I37" s="334" t="s">
        <v>738</v>
      </c>
      <c r="J37" s="338" t="s">
        <v>755</v>
      </c>
    </row>
    <row r="38" spans="1:11" ht="34.700000000000003" customHeight="1">
      <c r="A38" s="315"/>
      <c r="B38" s="456"/>
      <c r="C38" s="315"/>
      <c r="D38" s="315"/>
      <c r="E38" s="315"/>
      <c r="F38" s="315"/>
      <c r="G38" s="315"/>
      <c r="H38" s="315"/>
      <c r="I38" s="315"/>
      <c r="J38" s="315" t="s">
        <v>759</v>
      </c>
    </row>
    <row r="39" spans="1:11" ht="14.45" customHeight="1">
      <c r="A39" s="300"/>
      <c r="B39" s="300"/>
      <c r="C39" s="300"/>
      <c r="D39" s="300"/>
      <c r="E39" s="300"/>
      <c r="F39" s="300"/>
      <c r="G39" s="300"/>
      <c r="H39" s="300"/>
      <c r="I39" s="300"/>
      <c r="J39" s="298" t="s">
        <v>753</v>
      </c>
    </row>
    <row r="40" spans="1:11">
      <c r="B40" s="354" t="s">
        <v>764</v>
      </c>
      <c r="E40" s="361">
        <v>116.52</v>
      </c>
    </row>
    <row r="41" spans="1:11" ht="75">
      <c r="A41" s="294">
        <v>14</v>
      </c>
      <c r="B41" s="358" t="s">
        <v>767</v>
      </c>
      <c r="C41" s="294">
        <v>26.33</v>
      </c>
      <c r="E41" s="294">
        <v>71778</v>
      </c>
      <c r="F41" s="356">
        <v>0</v>
      </c>
      <c r="G41" s="356">
        <v>0</v>
      </c>
      <c r="H41" s="294">
        <v>71778</v>
      </c>
      <c r="I41" s="294" t="s">
        <v>768</v>
      </c>
      <c r="J41" s="294" t="s">
        <v>721</v>
      </c>
    </row>
    <row r="42" spans="1:11">
      <c r="B42" s="354" t="s">
        <v>764</v>
      </c>
      <c r="E42" s="361">
        <v>717.78</v>
      </c>
      <c r="F42" s="356"/>
      <c r="G42" s="356"/>
    </row>
    <row r="43" spans="1:11" ht="75">
      <c r="A43" s="294">
        <v>15</v>
      </c>
      <c r="B43" s="357" t="s">
        <v>769</v>
      </c>
      <c r="C43" s="294">
        <v>27.12</v>
      </c>
      <c r="D43" s="294">
        <v>144</v>
      </c>
      <c r="E43" s="294">
        <v>6762</v>
      </c>
      <c r="H43" s="294">
        <v>6762</v>
      </c>
      <c r="I43" s="294" t="s">
        <v>770</v>
      </c>
      <c r="J43" s="357" t="s">
        <v>771</v>
      </c>
    </row>
    <row r="44" spans="1:11">
      <c r="B44" s="354" t="s">
        <v>764</v>
      </c>
      <c r="E44" s="294">
        <v>67.62</v>
      </c>
      <c r="J44" s="357"/>
    </row>
    <row r="45" spans="1:11" ht="91.5" customHeight="1">
      <c r="A45" s="294">
        <v>16</v>
      </c>
      <c r="B45" s="357" t="s">
        <v>772</v>
      </c>
      <c r="C45" s="294">
        <v>26.23</v>
      </c>
      <c r="D45" s="294">
        <v>138</v>
      </c>
      <c r="E45" s="294">
        <v>6800</v>
      </c>
      <c r="F45" s="294">
        <v>0</v>
      </c>
      <c r="G45" s="294">
        <v>0</v>
      </c>
      <c r="H45" s="294">
        <v>6800</v>
      </c>
      <c r="I45" s="294" t="s">
        <v>770</v>
      </c>
      <c r="J45" s="359" t="s">
        <v>766</v>
      </c>
      <c r="K45" s="360"/>
    </row>
    <row r="46" spans="1:11">
      <c r="B46" s="354" t="s">
        <v>764</v>
      </c>
      <c r="E46" s="294">
        <v>68</v>
      </c>
      <c r="J46" s="359"/>
      <c r="K46" s="360"/>
    </row>
    <row r="47" spans="1:11" ht="75">
      <c r="A47" s="294">
        <v>17</v>
      </c>
      <c r="B47" s="357" t="s">
        <v>773</v>
      </c>
      <c r="C47" s="294">
        <v>27.13</v>
      </c>
      <c r="D47" s="294">
        <v>144</v>
      </c>
      <c r="E47" s="294">
        <v>6978</v>
      </c>
      <c r="H47" s="294">
        <v>6978</v>
      </c>
      <c r="I47" s="294" t="s">
        <v>770</v>
      </c>
      <c r="J47" s="357" t="s">
        <v>771</v>
      </c>
    </row>
    <row r="48" spans="1:11">
      <c r="B48" s="354" t="s">
        <v>764</v>
      </c>
      <c r="E48" s="294">
        <v>69.78</v>
      </c>
      <c r="J48" s="357"/>
    </row>
    <row r="49" spans="1:10" ht="60">
      <c r="A49" s="294">
        <v>18</v>
      </c>
      <c r="B49" s="357" t="s">
        <v>774</v>
      </c>
      <c r="C49" s="294">
        <v>32.03</v>
      </c>
      <c r="D49" s="294">
        <v>153</v>
      </c>
      <c r="E49" s="294">
        <v>257</v>
      </c>
      <c r="F49" s="294">
        <v>0</v>
      </c>
      <c r="G49" s="294">
        <v>0</v>
      </c>
      <c r="H49" s="294">
        <v>344</v>
      </c>
      <c r="I49" s="362" t="s">
        <v>720</v>
      </c>
      <c r="J49" s="363" t="s">
        <v>775</v>
      </c>
    </row>
    <row r="50" spans="1:10">
      <c r="B50" s="354" t="s">
        <v>764</v>
      </c>
      <c r="E50" s="294">
        <v>2.57</v>
      </c>
    </row>
  </sheetData>
  <mergeCells count="22">
    <mergeCell ref="E30:F30"/>
    <mergeCell ref="B37:B38"/>
    <mergeCell ref="F22:F28"/>
    <mergeCell ref="G22:G28"/>
    <mergeCell ref="H22:H28"/>
    <mergeCell ref="I22:I23"/>
    <mergeCell ref="I24:J24"/>
    <mergeCell ref="I25:I28"/>
    <mergeCell ref="C12:D12"/>
    <mergeCell ref="A22:A28"/>
    <mergeCell ref="B22:B28"/>
    <mergeCell ref="C22:C28"/>
    <mergeCell ref="D22:D28"/>
    <mergeCell ref="E22:E28"/>
    <mergeCell ref="A1:K1"/>
    <mergeCell ref="A2:K2"/>
    <mergeCell ref="B3:B6"/>
    <mergeCell ref="F3:F4"/>
    <mergeCell ref="G3:G4"/>
    <mergeCell ref="H3:H6"/>
    <mergeCell ref="I3:I6"/>
    <mergeCell ref="J4:J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0"/>
  <sheetViews>
    <sheetView tabSelected="1" topLeftCell="A19" workbookViewId="0">
      <selection activeCell="O29" sqref="O29"/>
    </sheetView>
  </sheetViews>
  <sheetFormatPr defaultColWidth="14.42578125" defaultRowHeight="15" customHeight="1"/>
  <cols>
    <col min="1" max="1" width="8.7109375" customWidth="1"/>
    <col min="2" max="2" width="7.5703125" customWidth="1"/>
    <col min="3" max="3" width="26.28515625" customWidth="1"/>
    <col min="4" max="4" width="15" customWidth="1"/>
    <col min="5" max="5" width="16" customWidth="1"/>
    <col min="6" max="6" width="17.85546875" customWidth="1"/>
    <col min="7" max="8" width="8.7109375" customWidth="1"/>
    <col min="9" max="9" width="12.140625" bestFit="1" customWidth="1"/>
    <col min="10" max="10" width="14" bestFit="1" customWidth="1"/>
    <col min="11" max="11" width="8.7109375" customWidth="1"/>
    <col min="12" max="13" width="9.5703125" bestFit="1" customWidth="1"/>
  </cols>
  <sheetData>
    <row r="2" spans="1:14" ht="18.75">
      <c r="B2" s="394" t="s">
        <v>80</v>
      </c>
      <c r="C2" s="378"/>
      <c r="D2" s="378"/>
      <c r="E2" s="378"/>
      <c r="F2" s="378"/>
    </row>
    <row r="4" spans="1:14">
      <c r="B4" s="11" t="s">
        <v>81</v>
      </c>
      <c r="C4" s="11" t="s">
        <v>82</v>
      </c>
      <c r="D4" s="11" t="s">
        <v>83</v>
      </c>
      <c r="E4" s="12" t="s">
        <v>84</v>
      </c>
      <c r="F4" s="12" t="s">
        <v>85</v>
      </c>
    </row>
    <row r="5" spans="1:14">
      <c r="B5" s="13">
        <v>1</v>
      </c>
      <c r="C5" s="14" t="str">
        <f>'2.Capex Details'!B2</f>
        <v>Land and Building</v>
      </c>
      <c r="D5" s="15">
        <f>+'2.Capex Details'!G12</f>
        <v>4332495</v>
      </c>
      <c r="E5" s="16">
        <v>0.6</v>
      </c>
      <c r="F5" s="17">
        <f>D5*E5</f>
        <v>2599497</v>
      </c>
    </row>
    <row r="6" spans="1:14">
      <c r="B6" s="13">
        <v>2</v>
      </c>
      <c r="C6" s="14" t="str">
        <f>'2.Capex Details'!B17</f>
        <v>Machinery and Equipment</v>
      </c>
      <c r="D6" s="15">
        <f>+'2.Capex Details'!G63</f>
        <v>4392000</v>
      </c>
      <c r="E6" s="16">
        <v>0.6</v>
      </c>
      <c r="F6" s="17">
        <f t="shared" ref="F6:F10" si="0">D6*E6</f>
        <v>2635200</v>
      </c>
    </row>
    <row r="7" spans="1:14">
      <c r="B7" s="13">
        <v>3</v>
      </c>
      <c r="C7" s="14" t="str">
        <f>'2.Capex Details'!B69</f>
        <v>Furniture and Fixture</v>
      </c>
      <c r="D7" s="15">
        <f>'2.Capex Details'!F78</f>
        <v>550000</v>
      </c>
      <c r="E7" s="16">
        <v>0.6</v>
      </c>
      <c r="F7" s="17">
        <f t="shared" si="0"/>
        <v>330000</v>
      </c>
    </row>
    <row r="8" spans="1:14">
      <c r="B8" s="13">
        <v>4</v>
      </c>
      <c r="C8" s="14" t="str">
        <f>'2.Capex Details'!B83</f>
        <v>IT &amp; It Infrastracture</v>
      </c>
      <c r="D8" s="15">
        <f>'2.Capex Details'!F92</f>
        <v>150000</v>
      </c>
      <c r="E8" s="16">
        <v>0.6</v>
      </c>
      <c r="F8" s="17">
        <f t="shared" si="0"/>
        <v>90000</v>
      </c>
    </row>
    <row r="9" spans="1:14" ht="25.5">
      <c r="B9" s="13">
        <v>5</v>
      </c>
      <c r="C9" s="14" t="str">
        <f>'2.Capex Details'!B97</f>
        <v>Transport vehical  (Refer van and other)</v>
      </c>
      <c r="D9" s="15">
        <f>'2.Capex Details'!F103</f>
        <v>0</v>
      </c>
      <c r="E9" s="16">
        <v>0.6</v>
      </c>
      <c r="F9" s="17">
        <f t="shared" si="0"/>
        <v>0</v>
      </c>
    </row>
    <row r="10" spans="1:14">
      <c r="B10" s="13">
        <v>6</v>
      </c>
      <c r="C10" s="14" t="str">
        <f>'2.Capex Details'!B107</f>
        <v>Preliminary Expenses</v>
      </c>
      <c r="D10" s="15">
        <f>'2.Capex Details'!D115</f>
        <v>100000</v>
      </c>
      <c r="E10" s="16">
        <v>0.6</v>
      </c>
      <c r="F10" s="17">
        <f t="shared" si="0"/>
        <v>60000</v>
      </c>
    </row>
    <row r="11" spans="1:14">
      <c r="B11" s="13">
        <v>7</v>
      </c>
      <c r="C11" s="14" t="s">
        <v>86</v>
      </c>
      <c r="D11" s="15">
        <f>'5.Closing Stock &amp; W Capital'!E56</f>
        <v>0</v>
      </c>
      <c r="E11" s="18"/>
      <c r="F11" s="18"/>
    </row>
    <row r="12" spans="1:14">
      <c r="B12" s="395" t="s">
        <v>87</v>
      </c>
      <c r="C12" s="383"/>
      <c r="D12" s="19">
        <f>SUM(D5:D11)</f>
        <v>9524495</v>
      </c>
      <c r="E12" s="18"/>
      <c r="F12" s="19">
        <f>SUM(F5:F11)</f>
        <v>5714697</v>
      </c>
    </row>
    <row r="13" spans="1:14">
      <c r="D13" s="20"/>
      <c r="J13" s="371"/>
      <c r="L13" s="371"/>
      <c r="M13" s="371"/>
      <c r="N13" s="371"/>
    </row>
    <row r="14" spans="1:14" ht="25.5" customHeight="1">
      <c r="A14" s="397" t="s">
        <v>88</v>
      </c>
      <c r="B14" s="378"/>
      <c r="C14" s="378"/>
      <c r="D14" s="378"/>
      <c r="E14" s="378"/>
      <c r="F14" s="378"/>
    </row>
    <row r="16" spans="1:14" ht="18.75">
      <c r="B16" s="394" t="s">
        <v>89</v>
      </c>
      <c r="C16" s="378"/>
      <c r="D16" s="378"/>
      <c r="E16" s="378"/>
      <c r="F16" s="378"/>
    </row>
    <row r="18" spans="2:10">
      <c r="B18" s="21" t="s">
        <v>81</v>
      </c>
      <c r="C18" s="11" t="s">
        <v>82</v>
      </c>
      <c r="D18" s="11" t="s">
        <v>90</v>
      </c>
      <c r="E18" s="11" t="s">
        <v>83</v>
      </c>
    </row>
    <row r="19" spans="2:10" ht="25.5">
      <c r="B19" s="13">
        <v>1</v>
      </c>
      <c r="C19" s="14" t="s">
        <v>91</v>
      </c>
      <c r="D19" s="22"/>
      <c r="E19" s="23">
        <f>F12</f>
        <v>5714697</v>
      </c>
    </row>
    <row r="20" spans="2:10">
      <c r="B20" s="13">
        <v>2</v>
      </c>
      <c r="C20" s="14" t="s">
        <v>92</v>
      </c>
      <c r="D20" s="24">
        <v>0.2</v>
      </c>
      <c r="E20" s="23">
        <f>SUM(D5:D10)*D20</f>
        <v>1904899</v>
      </c>
    </row>
    <row r="21" spans="2:10" ht="15.75" customHeight="1">
      <c r="B21" s="13">
        <v>3</v>
      </c>
      <c r="C21" s="14" t="s">
        <v>93</v>
      </c>
      <c r="D21" s="23"/>
      <c r="E21" s="23">
        <f>D12-E19-E20</f>
        <v>1904899</v>
      </c>
    </row>
    <row r="22" spans="2:10" ht="15.75" customHeight="1">
      <c r="B22" s="395" t="s">
        <v>87</v>
      </c>
      <c r="C22" s="383"/>
      <c r="D22" s="25"/>
      <c r="E22" s="25">
        <f>SUM(E19:E21)</f>
        <v>9524495</v>
      </c>
    </row>
    <row r="23" spans="2:10" ht="15.75" customHeight="1"/>
    <row r="24" spans="2:10" ht="15.75" customHeight="1">
      <c r="B24" s="396" t="s">
        <v>94</v>
      </c>
      <c r="C24" s="378"/>
      <c r="D24" s="378"/>
      <c r="E24" s="378"/>
      <c r="F24" s="378"/>
    </row>
    <row r="26" spans="2:10" ht="18.75">
      <c r="B26" s="394" t="s">
        <v>95</v>
      </c>
      <c r="C26" s="378"/>
      <c r="D26" s="378"/>
      <c r="E26" s="378"/>
      <c r="F26" s="378"/>
    </row>
    <row r="27" spans="2:10">
      <c r="B27" s="27" t="s">
        <v>81</v>
      </c>
      <c r="C27" s="28" t="s">
        <v>96</v>
      </c>
      <c r="D27" s="29" t="s">
        <v>97</v>
      </c>
      <c r="E27" s="30" t="s">
        <v>98</v>
      </c>
      <c r="F27" s="392" t="s">
        <v>99</v>
      </c>
      <c r="G27" s="393"/>
    </row>
    <row r="28" spans="2:10" ht="25.5">
      <c r="B28" s="31">
        <v>1</v>
      </c>
      <c r="C28" s="14" t="s">
        <v>100</v>
      </c>
      <c r="D28" s="32">
        <f>'9. Financial indiacators'!C49</f>
        <v>0.38613334419113743</v>
      </c>
      <c r="E28" s="31" t="s">
        <v>101</v>
      </c>
      <c r="F28" s="33" t="s">
        <v>102</v>
      </c>
      <c r="G28" s="31" t="s">
        <v>103</v>
      </c>
      <c r="I28" s="372"/>
      <c r="J28" s="372"/>
    </row>
    <row r="29" spans="2:10" ht="38.25">
      <c r="B29" s="31">
        <v>2</v>
      </c>
      <c r="C29" s="14" t="s">
        <v>104</v>
      </c>
      <c r="D29" s="32">
        <f>'9. Financial indiacators'!C82</f>
        <v>0.25672683541459512</v>
      </c>
      <c r="E29" s="31" t="s">
        <v>101</v>
      </c>
      <c r="F29" s="33" t="s">
        <v>105</v>
      </c>
      <c r="G29" s="31" t="s">
        <v>106</v>
      </c>
      <c r="I29" s="372"/>
      <c r="J29" s="372"/>
    </row>
    <row r="30" spans="2:10" ht="38.25">
      <c r="B30" s="31">
        <v>3</v>
      </c>
      <c r="C30" s="14" t="s">
        <v>107</v>
      </c>
      <c r="D30" s="32">
        <f>'9. Financial indiacators'!C16</f>
        <v>0.20850468136603717</v>
      </c>
      <c r="E30" s="31" t="s">
        <v>101</v>
      </c>
      <c r="F30" s="33" t="s">
        <v>108</v>
      </c>
      <c r="G30" s="31" t="s">
        <v>109</v>
      </c>
      <c r="H30" s="368"/>
      <c r="I30" s="372"/>
      <c r="J30" s="372"/>
    </row>
    <row r="31" spans="2:10" ht="63.75">
      <c r="B31" s="31">
        <v>4</v>
      </c>
      <c r="C31" s="14" t="s">
        <v>110</v>
      </c>
      <c r="D31" s="34">
        <f>'9. Financial indiacators'!C70</f>
        <v>4224136.8314532451</v>
      </c>
      <c r="E31" s="31" t="s">
        <v>111</v>
      </c>
      <c r="F31" s="33" t="s">
        <v>112</v>
      </c>
      <c r="G31" s="31" t="s">
        <v>113</v>
      </c>
      <c r="I31" s="368"/>
      <c r="J31" s="373"/>
    </row>
    <row r="32" spans="2:10" ht="38.25">
      <c r="B32" s="31">
        <v>5</v>
      </c>
      <c r="C32" s="14" t="s">
        <v>114</v>
      </c>
      <c r="D32" s="35">
        <f>'9. Financial indiacators'!D98</f>
        <v>3.8206795525703008</v>
      </c>
      <c r="E32" s="31" t="s">
        <v>101</v>
      </c>
      <c r="F32" s="33" t="s">
        <v>115</v>
      </c>
      <c r="G32" s="31" t="s">
        <v>116</v>
      </c>
      <c r="I32" s="368"/>
      <c r="J32" s="368"/>
    </row>
    <row r="33" spans="2:10" ht="38.25">
      <c r="B33" s="31">
        <v>6</v>
      </c>
      <c r="C33" s="36" t="s">
        <v>117</v>
      </c>
      <c r="D33" s="35">
        <f>'9. Financial indiacators'!C117</f>
        <v>5.7875169048308814</v>
      </c>
      <c r="E33" s="37" t="s">
        <v>101</v>
      </c>
      <c r="F33" s="33" t="s">
        <v>118</v>
      </c>
      <c r="G33" s="36" t="s">
        <v>119</v>
      </c>
      <c r="I33" s="368"/>
      <c r="J33" s="368"/>
    </row>
    <row r="37" spans="2:10" ht="15.75" customHeight="1"/>
    <row r="38" spans="2:10" ht="15.75" customHeight="1"/>
    <row r="39" spans="2:10" ht="15.75" customHeight="1"/>
    <row r="40" spans="2:10" ht="15.75" customHeight="1"/>
    <row r="41" spans="2:10" ht="15.75" customHeight="1"/>
    <row r="42" spans="2:10" ht="15.75" customHeight="1"/>
    <row r="43" spans="2:10" ht="15.75" customHeight="1"/>
    <row r="44" spans="2:10" ht="15.75" customHeight="1"/>
    <row r="45" spans="2:10" ht="15.75" customHeight="1"/>
    <row r="46" spans="2:10" ht="15.75" customHeight="1"/>
    <row r="47" spans="2:10" ht="15.75" customHeight="1"/>
    <row r="48" spans="2: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0866141732283472" right="0.70866141732283472" top="0.74803149606299213" bottom="0.74803149606299213" header="0" footer="0"/>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17"/>
  <sheetViews>
    <sheetView topLeftCell="A25" workbookViewId="0">
      <selection activeCell="G40" sqref="G40"/>
    </sheetView>
  </sheetViews>
  <sheetFormatPr defaultColWidth="14.42578125" defaultRowHeight="15" customHeight="1"/>
  <cols>
    <col min="1" max="1" width="8.7109375" customWidth="1"/>
    <col min="2" max="2" width="7.5703125" customWidth="1"/>
    <col min="3" max="3" width="41.5703125" customWidth="1"/>
    <col min="4" max="4" width="10.7109375" customWidth="1"/>
    <col min="5" max="5" width="17" customWidth="1"/>
    <col min="6" max="6" width="14" customWidth="1"/>
    <col min="7" max="7" width="11.28515625" bestFit="1" customWidth="1"/>
    <col min="8" max="8" width="11.5703125" customWidth="1"/>
    <col min="9" max="11" width="8.7109375" customWidth="1"/>
  </cols>
  <sheetData>
    <row r="2" spans="1:7" ht="18.75">
      <c r="A2">
        <v>2.1</v>
      </c>
      <c r="B2" s="394" t="s">
        <v>120</v>
      </c>
      <c r="C2" s="378"/>
      <c r="D2" s="378"/>
      <c r="E2" s="378"/>
      <c r="F2" s="378"/>
      <c r="G2" s="378"/>
    </row>
    <row r="4" spans="1:7" ht="28.5">
      <c r="B4" s="38" t="s">
        <v>81</v>
      </c>
      <c r="C4" s="38" t="s">
        <v>82</v>
      </c>
      <c r="D4" s="38" t="s">
        <v>121</v>
      </c>
      <c r="E4" s="38" t="s">
        <v>122</v>
      </c>
      <c r="F4" s="38" t="s">
        <v>123</v>
      </c>
      <c r="G4" s="38" t="s">
        <v>83</v>
      </c>
    </row>
    <row r="5" spans="1:7">
      <c r="B5" s="39">
        <v>1</v>
      </c>
      <c r="C5" s="39" t="s">
        <v>124</v>
      </c>
      <c r="D5" s="39" t="s">
        <v>125</v>
      </c>
      <c r="E5" s="40"/>
      <c r="F5" s="41"/>
      <c r="G5" s="42" t="s">
        <v>126</v>
      </c>
    </row>
    <row r="6" spans="1:7">
      <c r="B6" s="39">
        <v>2</v>
      </c>
      <c r="C6" s="39" t="s">
        <v>177</v>
      </c>
      <c r="D6" s="43"/>
      <c r="E6" s="44"/>
      <c r="F6" s="45"/>
      <c r="G6" s="46">
        <v>4332495</v>
      </c>
    </row>
    <row r="7" spans="1:7">
      <c r="B7" s="39"/>
      <c r="C7" s="39"/>
      <c r="D7" s="43"/>
      <c r="E7" s="44"/>
      <c r="F7" s="45"/>
      <c r="G7" s="46"/>
    </row>
    <row r="8" spans="1:7">
      <c r="B8" s="39"/>
      <c r="C8" s="39"/>
      <c r="D8" s="43"/>
      <c r="E8" s="44"/>
      <c r="F8" s="45"/>
      <c r="G8" s="46">
        <f t="shared" ref="G8:G11" si="0">E8*F8</f>
        <v>0</v>
      </c>
    </row>
    <row r="9" spans="1:7">
      <c r="B9" s="39"/>
      <c r="C9" s="39"/>
      <c r="D9" s="43"/>
      <c r="E9" s="44"/>
      <c r="F9" s="45"/>
      <c r="G9" s="46">
        <f t="shared" si="0"/>
        <v>0</v>
      </c>
    </row>
    <row r="10" spans="1:7">
      <c r="B10" s="39"/>
      <c r="C10" s="39"/>
      <c r="D10" s="43"/>
      <c r="E10" s="44"/>
      <c r="F10" s="45"/>
      <c r="G10" s="46">
        <f t="shared" si="0"/>
        <v>0</v>
      </c>
    </row>
    <row r="11" spans="1:7">
      <c r="B11" s="39"/>
      <c r="C11" s="39"/>
      <c r="D11" s="43"/>
      <c r="E11" s="44"/>
      <c r="F11" s="45"/>
      <c r="G11" s="46">
        <f t="shared" si="0"/>
        <v>0</v>
      </c>
    </row>
    <row r="12" spans="1:7">
      <c r="B12" s="401" t="s">
        <v>87</v>
      </c>
      <c r="C12" s="382"/>
      <c r="D12" s="382"/>
      <c r="E12" s="382"/>
      <c r="F12" s="383"/>
      <c r="G12" s="47">
        <f>SUM(G6:G11)</f>
        <v>4332495</v>
      </c>
    </row>
    <row r="15" spans="1:7">
      <c r="B15" s="396" t="s">
        <v>127</v>
      </c>
      <c r="C15" s="378"/>
      <c r="D15" s="378"/>
      <c r="E15" s="378"/>
      <c r="F15" s="378"/>
      <c r="G15" s="378"/>
    </row>
    <row r="17" spans="1:8" ht="18.75">
      <c r="A17">
        <v>2.2000000000000002</v>
      </c>
      <c r="B17" s="394" t="s">
        <v>128</v>
      </c>
      <c r="C17" s="378"/>
      <c r="D17" s="378"/>
      <c r="E17" s="378"/>
      <c r="F17" s="378"/>
      <c r="G17" s="378"/>
      <c r="H17" s="378"/>
    </row>
    <row r="18" spans="1:8">
      <c r="B18" s="48"/>
    </row>
    <row r="19" spans="1:8" ht="28.5">
      <c r="B19" s="38" t="s">
        <v>81</v>
      </c>
      <c r="C19" s="38" t="s">
        <v>10</v>
      </c>
      <c r="D19" s="38" t="s">
        <v>129</v>
      </c>
      <c r="E19" s="38" t="s">
        <v>130</v>
      </c>
      <c r="F19" s="38" t="s">
        <v>131</v>
      </c>
      <c r="G19" s="38" t="s">
        <v>83</v>
      </c>
      <c r="H19" s="38" t="s">
        <v>132</v>
      </c>
    </row>
    <row r="20" spans="1:8">
      <c r="B20" s="49"/>
      <c r="C20" s="50"/>
      <c r="D20" s="50"/>
      <c r="E20" s="50"/>
      <c r="F20" s="50"/>
      <c r="G20" s="51"/>
      <c r="H20" s="50"/>
    </row>
    <row r="21" spans="1:8" ht="15.75" customHeight="1">
      <c r="B21" s="52" t="s">
        <v>19</v>
      </c>
      <c r="C21" s="53" t="s">
        <v>133</v>
      </c>
      <c r="D21" s="53"/>
      <c r="E21" s="52"/>
      <c r="F21" s="54"/>
      <c r="G21" s="51">
        <f t="shared" ref="G21:G31" si="1">E21*F21</f>
        <v>0</v>
      </c>
      <c r="H21" s="55"/>
    </row>
    <row r="22" spans="1:8" ht="15.75" customHeight="1">
      <c r="B22" s="52"/>
      <c r="C22" s="53"/>
      <c r="D22" s="53"/>
      <c r="E22" s="52"/>
      <c r="F22" s="54"/>
      <c r="G22" s="51">
        <f t="shared" si="1"/>
        <v>0</v>
      </c>
      <c r="H22" s="55"/>
    </row>
    <row r="23" spans="1:8" ht="15.75" customHeight="1">
      <c r="B23" s="52"/>
      <c r="C23" s="53"/>
      <c r="D23" s="53"/>
      <c r="E23" s="52"/>
      <c r="F23" s="54"/>
      <c r="G23" s="51">
        <f t="shared" si="1"/>
        <v>0</v>
      </c>
      <c r="H23" s="55"/>
    </row>
    <row r="24" spans="1:8" ht="15.75" customHeight="1">
      <c r="B24" s="52"/>
      <c r="C24" s="53"/>
      <c r="D24" s="53"/>
      <c r="E24" s="52"/>
      <c r="F24" s="54"/>
      <c r="G24" s="51">
        <f t="shared" si="1"/>
        <v>0</v>
      </c>
      <c r="H24" s="55"/>
    </row>
    <row r="25" spans="1:8" ht="15.75" customHeight="1">
      <c r="B25" s="52"/>
      <c r="C25" s="53"/>
      <c r="D25" s="53"/>
      <c r="E25" s="52"/>
      <c r="F25" s="54"/>
      <c r="G25" s="51">
        <f t="shared" si="1"/>
        <v>0</v>
      </c>
      <c r="H25" s="55"/>
    </row>
    <row r="26" spans="1:8" ht="15.75" customHeight="1">
      <c r="B26" s="52"/>
      <c r="C26" s="53"/>
      <c r="D26" s="53"/>
      <c r="E26" s="52"/>
      <c r="F26" s="54"/>
      <c r="G26" s="51">
        <f t="shared" si="1"/>
        <v>0</v>
      </c>
      <c r="H26" s="55"/>
    </row>
    <row r="27" spans="1:8" ht="15.75" customHeight="1">
      <c r="B27" s="52"/>
      <c r="C27" s="53"/>
      <c r="D27" s="53"/>
      <c r="E27" s="52"/>
      <c r="F27" s="54"/>
      <c r="G27" s="51">
        <f t="shared" si="1"/>
        <v>0</v>
      </c>
      <c r="H27" s="55"/>
    </row>
    <row r="28" spans="1:8" ht="15.75" customHeight="1">
      <c r="B28" s="52"/>
      <c r="C28" s="53"/>
      <c r="D28" s="53"/>
      <c r="E28" s="52"/>
      <c r="F28" s="54"/>
      <c r="G28" s="51">
        <f t="shared" si="1"/>
        <v>0</v>
      </c>
      <c r="H28" s="55"/>
    </row>
    <row r="29" spans="1:8" ht="15.75" customHeight="1">
      <c r="B29" s="52"/>
      <c r="C29" s="53"/>
      <c r="D29" s="52"/>
      <c r="E29" s="52"/>
      <c r="F29" s="54"/>
      <c r="G29" s="51">
        <f t="shared" si="1"/>
        <v>0</v>
      </c>
      <c r="H29" s="55"/>
    </row>
    <row r="30" spans="1:8" ht="15.75" customHeight="1">
      <c r="B30" s="52"/>
      <c r="C30" s="53"/>
      <c r="D30" s="52"/>
      <c r="E30" s="52"/>
      <c r="F30" s="54"/>
      <c r="G30" s="51">
        <f t="shared" si="1"/>
        <v>0</v>
      </c>
      <c r="H30" s="55"/>
    </row>
    <row r="31" spans="1:8" ht="15.75" customHeight="1">
      <c r="B31" s="52"/>
      <c r="C31" s="53"/>
      <c r="D31" s="52"/>
      <c r="E31" s="52"/>
      <c r="F31" s="54"/>
      <c r="G31" s="51">
        <f t="shared" si="1"/>
        <v>0</v>
      </c>
      <c r="H31" s="55"/>
    </row>
    <row r="32" spans="1:8" ht="15.75" customHeight="1">
      <c r="B32" s="406" t="s">
        <v>134</v>
      </c>
      <c r="C32" s="383"/>
      <c r="D32" s="52"/>
      <c r="E32" s="52"/>
      <c r="F32" s="56"/>
      <c r="G32" s="51">
        <f t="shared" ref="G32:H32" si="2">SUM(G21:G31)</f>
        <v>0</v>
      </c>
      <c r="H32" s="51">
        <f t="shared" si="2"/>
        <v>0</v>
      </c>
    </row>
    <row r="33" spans="2:8" ht="15.75" customHeight="1">
      <c r="B33" s="52" t="s">
        <v>61</v>
      </c>
      <c r="C33" s="53" t="s">
        <v>135</v>
      </c>
      <c r="D33" s="49"/>
      <c r="E33" s="49"/>
      <c r="F33" s="51"/>
      <c r="G33" s="51"/>
      <c r="H33" s="50"/>
    </row>
    <row r="34" spans="2:8" ht="15.75" customHeight="1">
      <c r="B34" s="49"/>
      <c r="C34" s="43" t="s">
        <v>135</v>
      </c>
      <c r="D34" s="43"/>
      <c r="E34" s="49">
        <v>1</v>
      </c>
      <c r="F34" s="51"/>
      <c r="G34" s="51">
        <v>4392000</v>
      </c>
      <c r="H34" s="50"/>
    </row>
    <row r="35" spans="2:8" ht="15.75" customHeight="1">
      <c r="B35" s="49"/>
      <c r="C35" s="43"/>
      <c r="D35" s="49"/>
      <c r="E35" s="49"/>
      <c r="F35" s="51"/>
      <c r="G35" s="51"/>
      <c r="H35" s="50"/>
    </row>
    <row r="36" spans="2:8" ht="15.75" customHeight="1">
      <c r="B36" s="49"/>
      <c r="C36" s="43"/>
      <c r="D36" s="49"/>
      <c r="E36" s="49"/>
      <c r="F36" s="51"/>
      <c r="G36" s="51"/>
      <c r="H36" s="50"/>
    </row>
    <row r="37" spans="2:8" ht="15.75" customHeight="1">
      <c r="B37" s="49"/>
      <c r="C37" s="43"/>
      <c r="D37" s="49"/>
      <c r="E37" s="49"/>
      <c r="F37" s="51"/>
      <c r="G37" s="51"/>
      <c r="H37" s="50"/>
    </row>
    <row r="38" spans="2:8" ht="15.75" customHeight="1">
      <c r="B38" s="49"/>
      <c r="C38" s="43"/>
      <c r="D38" s="49"/>
      <c r="E38" s="49"/>
      <c r="F38" s="51"/>
      <c r="G38" s="51"/>
      <c r="H38" s="50"/>
    </row>
    <row r="39" spans="2:8" ht="15.75" customHeight="1">
      <c r="B39" s="49"/>
      <c r="C39" s="43"/>
      <c r="D39" s="49"/>
      <c r="E39" s="49"/>
      <c r="F39" s="51"/>
      <c r="G39" s="51">
        <f t="shared" ref="G39" si="3">E39*F39</f>
        <v>0</v>
      </c>
      <c r="H39" s="50"/>
    </row>
    <row r="40" spans="2:8" ht="15.75" customHeight="1">
      <c r="B40" s="49"/>
      <c r="C40" s="43"/>
      <c r="D40" s="49"/>
      <c r="E40" s="49"/>
      <c r="F40" s="51"/>
      <c r="G40" s="51">
        <f t="shared" ref="G40:G46" si="4">F40</f>
        <v>0</v>
      </c>
      <c r="H40" s="50"/>
    </row>
    <row r="41" spans="2:8" ht="15.75" customHeight="1">
      <c r="B41" s="49"/>
      <c r="C41" s="43"/>
      <c r="D41" s="49"/>
      <c r="E41" s="49"/>
      <c r="F41" s="51"/>
      <c r="G41" s="51">
        <f t="shared" si="4"/>
        <v>0</v>
      </c>
      <c r="H41" s="50"/>
    </row>
    <row r="42" spans="2:8" ht="15.75" customHeight="1">
      <c r="B42" s="49"/>
      <c r="C42" s="43"/>
      <c r="D42" s="49"/>
      <c r="E42" s="49"/>
      <c r="F42" s="51"/>
      <c r="G42" s="51">
        <f t="shared" si="4"/>
        <v>0</v>
      </c>
      <c r="H42" s="50"/>
    </row>
    <row r="43" spans="2:8" ht="15.75" customHeight="1">
      <c r="B43" s="49"/>
      <c r="C43" s="43"/>
      <c r="D43" s="49"/>
      <c r="E43" s="49"/>
      <c r="F43" s="51"/>
      <c r="G43" s="51">
        <f t="shared" si="4"/>
        <v>0</v>
      </c>
      <c r="H43" s="50"/>
    </row>
    <row r="44" spans="2:8" ht="15.75" customHeight="1">
      <c r="B44" s="49"/>
      <c r="C44" s="43"/>
      <c r="D44" s="49"/>
      <c r="E44" s="49"/>
      <c r="F44" s="51"/>
      <c r="G44" s="51">
        <f t="shared" si="4"/>
        <v>0</v>
      </c>
      <c r="H44" s="50"/>
    </row>
    <row r="45" spans="2:8" ht="15.75" customHeight="1">
      <c r="B45" s="49"/>
      <c r="C45" s="43"/>
      <c r="D45" s="49"/>
      <c r="E45" s="49"/>
      <c r="F45" s="51"/>
      <c r="G45" s="51">
        <f t="shared" si="4"/>
        <v>0</v>
      </c>
      <c r="H45" s="50"/>
    </row>
    <row r="46" spans="2:8" ht="15.75" customHeight="1">
      <c r="B46" s="49"/>
      <c r="C46" s="43"/>
      <c r="D46" s="49"/>
      <c r="E46" s="49"/>
      <c r="F46" s="51"/>
      <c r="G46" s="51">
        <f t="shared" si="4"/>
        <v>0</v>
      </c>
      <c r="H46" s="50"/>
    </row>
    <row r="47" spans="2:8" ht="15.75" customHeight="1">
      <c r="B47" s="406" t="s">
        <v>134</v>
      </c>
      <c r="C47" s="383"/>
      <c r="D47" s="52"/>
      <c r="E47" s="52"/>
      <c r="F47" s="56"/>
      <c r="G47" s="56">
        <f t="shared" ref="G47:H47" si="5">SUM(G34:G46)</f>
        <v>4392000</v>
      </c>
      <c r="H47" s="56">
        <f t="shared" si="5"/>
        <v>0</v>
      </c>
    </row>
    <row r="48" spans="2:8" ht="15.75" customHeight="1">
      <c r="B48" s="49"/>
      <c r="C48" s="43"/>
      <c r="D48" s="49"/>
      <c r="E48" s="49"/>
      <c r="F48" s="51"/>
      <c r="G48" s="51"/>
      <c r="H48" s="50"/>
    </row>
    <row r="49" spans="2:8" ht="15.75" customHeight="1">
      <c r="B49" s="52" t="s">
        <v>136</v>
      </c>
      <c r="C49" s="53" t="s">
        <v>137</v>
      </c>
      <c r="D49" s="49"/>
      <c r="E49" s="49"/>
      <c r="F49" s="51"/>
      <c r="G49" s="51">
        <f t="shared" ref="G49:G54" si="6">E49*F49</f>
        <v>0</v>
      </c>
      <c r="H49" s="50"/>
    </row>
    <row r="50" spans="2:8" ht="15.75" customHeight="1">
      <c r="B50" s="52"/>
      <c r="C50" s="53"/>
      <c r="D50" s="49"/>
      <c r="E50" s="49"/>
      <c r="F50" s="51"/>
      <c r="G50" s="51">
        <f t="shared" si="6"/>
        <v>0</v>
      </c>
      <c r="H50" s="50"/>
    </row>
    <row r="51" spans="2:8" ht="15.75" customHeight="1">
      <c r="B51" s="52"/>
      <c r="C51" s="53"/>
      <c r="D51" s="43"/>
      <c r="E51" s="49"/>
      <c r="F51" s="51"/>
      <c r="G51" s="51">
        <f t="shared" si="6"/>
        <v>0</v>
      </c>
      <c r="H51" s="50"/>
    </row>
    <row r="52" spans="2:8" ht="15.75" customHeight="1">
      <c r="B52" s="52"/>
      <c r="C52" s="53"/>
      <c r="D52" s="43"/>
      <c r="E52" s="49"/>
      <c r="F52" s="51"/>
      <c r="G52" s="51">
        <f t="shared" si="6"/>
        <v>0</v>
      </c>
      <c r="H52" s="50"/>
    </row>
    <row r="53" spans="2:8" ht="15.75" customHeight="1">
      <c r="B53" s="52"/>
      <c r="C53" s="53"/>
      <c r="D53" s="43"/>
      <c r="E53" s="49"/>
      <c r="F53" s="51"/>
      <c r="G53" s="51">
        <f t="shared" si="6"/>
        <v>0</v>
      </c>
      <c r="H53" s="50"/>
    </row>
    <row r="54" spans="2:8" ht="15.75" customHeight="1">
      <c r="B54" s="52"/>
      <c r="C54" s="53"/>
      <c r="D54" s="43"/>
      <c r="E54" s="49"/>
      <c r="F54" s="51"/>
      <c r="G54" s="51">
        <f t="shared" si="6"/>
        <v>0</v>
      </c>
      <c r="H54" s="50"/>
    </row>
    <row r="55" spans="2:8" ht="15.75" customHeight="1">
      <c r="B55" s="406" t="s">
        <v>134</v>
      </c>
      <c r="C55" s="383"/>
      <c r="D55" s="43"/>
      <c r="E55" s="49"/>
      <c r="F55" s="51"/>
      <c r="G55" s="51">
        <f t="shared" ref="G55:H55" si="7">SUM(G49:G54)</f>
        <v>0</v>
      </c>
      <c r="H55" s="51">
        <f t="shared" si="7"/>
        <v>0</v>
      </c>
    </row>
    <row r="56" spans="2:8" ht="15.75" customHeight="1">
      <c r="B56" s="52"/>
      <c r="C56" s="52"/>
      <c r="D56" s="43"/>
      <c r="E56" s="49"/>
      <c r="F56" s="51"/>
      <c r="G56" s="51"/>
      <c r="H56" s="51"/>
    </row>
    <row r="57" spans="2:8" ht="15.75" customHeight="1">
      <c r="B57" s="52" t="s">
        <v>138</v>
      </c>
      <c r="C57" s="52" t="s">
        <v>139</v>
      </c>
      <c r="D57" s="43"/>
      <c r="E57" s="49"/>
      <c r="F57" s="51"/>
      <c r="G57" s="51">
        <f t="shared" ref="G57:G60" si="8">E57*F57</f>
        <v>0</v>
      </c>
      <c r="H57" s="51"/>
    </row>
    <row r="58" spans="2:8" ht="15.75" customHeight="1">
      <c r="B58" s="52"/>
      <c r="C58" s="52"/>
      <c r="D58" s="43"/>
      <c r="E58" s="49"/>
      <c r="F58" s="51"/>
      <c r="G58" s="51">
        <f t="shared" si="8"/>
        <v>0</v>
      </c>
      <c r="H58" s="51"/>
    </row>
    <row r="59" spans="2:8" ht="15.75" customHeight="1">
      <c r="B59" s="52"/>
      <c r="C59" s="52"/>
      <c r="D59" s="43"/>
      <c r="E59" s="49"/>
      <c r="F59" s="51"/>
      <c r="G59" s="51">
        <f t="shared" si="8"/>
        <v>0</v>
      </c>
      <c r="H59" s="51"/>
    </row>
    <row r="60" spans="2:8" ht="15.75" customHeight="1">
      <c r="B60" s="52"/>
      <c r="C60" s="53"/>
      <c r="D60" s="43"/>
      <c r="E60" s="49"/>
      <c r="F60" s="51"/>
      <c r="G60" s="51">
        <f t="shared" si="8"/>
        <v>0</v>
      </c>
      <c r="H60" s="50"/>
    </row>
    <row r="61" spans="2:8" ht="15.75" customHeight="1">
      <c r="B61" s="406" t="s">
        <v>134</v>
      </c>
      <c r="C61" s="383"/>
      <c r="D61" s="43"/>
      <c r="E61" s="49"/>
      <c r="F61" s="51"/>
      <c r="G61" s="51">
        <f t="shared" ref="G61:H61" si="9">SUM(G57:G60)</f>
        <v>0</v>
      </c>
      <c r="H61" s="51">
        <f t="shared" si="9"/>
        <v>0</v>
      </c>
    </row>
    <row r="62" spans="2:8" ht="15.75" customHeight="1">
      <c r="B62" s="49"/>
      <c r="C62" s="43"/>
      <c r="D62" s="43"/>
      <c r="E62" s="49"/>
      <c r="F62" s="51"/>
      <c r="G62" s="51"/>
      <c r="H62" s="50"/>
    </row>
    <row r="63" spans="2:8" ht="15.75" customHeight="1">
      <c r="B63" s="401" t="s">
        <v>87</v>
      </c>
      <c r="C63" s="382"/>
      <c r="D63" s="382"/>
      <c r="E63" s="382"/>
      <c r="F63" s="383"/>
      <c r="G63" s="47">
        <f>G55+G47+G32+G61</f>
        <v>4392000</v>
      </c>
      <c r="H63" s="47">
        <f>H47+H21+H55+H61</f>
        <v>0</v>
      </c>
    </row>
    <row r="64" spans="2:8" ht="15.75" customHeight="1">
      <c r="B64" s="48"/>
      <c r="G64" s="57"/>
    </row>
    <row r="65" spans="1:11" ht="15.75" customHeight="1">
      <c r="B65" s="396" t="s">
        <v>140</v>
      </c>
      <c r="C65" s="378"/>
      <c r="D65" s="378"/>
      <c r="E65" s="378"/>
      <c r="F65" s="378"/>
      <c r="G65" s="378"/>
      <c r="H65" s="378"/>
    </row>
    <row r="66" spans="1:11" ht="15.75" customHeight="1">
      <c r="B66" s="48"/>
      <c r="G66" s="57"/>
      <c r="I66" s="48"/>
      <c r="J66" s="48"/>
      <c r="K66" s="57"/>
    </row>
    <row r="67" spans="1:11" ht="15.75" customHeight="1"/>
    <row r="68" spans="1:11" ht="15.75" customHeight="1"/>
    <row r="69" spans="1:11" ht="15.75" customHeight="1">
      <c r="A69">
        <v>2.2999999999999998</v>
      </c>
      <c r="B69" s="394" t="s">
        <v>141</v>
      </c>
      <c r="C69" s="378"/>
      <c r="D69" s="378"/>
      <c r="E69" s="378"/>
      <c r="F69" s="378"/>
    </row>
    <row r="70" spans="1:11" ht="15.75" customHeight="1"/>
    <row r="71" spans="1:11" ht="15.75" customHeight="1">
      <c r="B71" s="58" t="s">
        <v>81</v>
      </c>
      <c r="C71" s="59" t="s">
        <v>82</v>
      </c>
      <c r="D71" s="59" t="s">
        <v>130</v>
      </c>
      <c r="E71" s="59" t="s">
        <v>131</v>
      </c>
      <c r="F71" s="59" t="s">
        <v>83</v>
      </c>
    </row>
    <row r="72" spans="1:11" ht="15.75" customHeight="1">
      <c r="B72" s="60">
        <v>1</v>
      </c>
      <c r="C72" s="61" t="s">
        <v>709</v>
      </c>
      <c r="D72" s="60">
        <v>1</v>
      </c>
      <c r="E72" s="62"/>
      <c r="F72" s="63">
        <v>550000</v>
      </c>
    </row>
    <row r="73" spans="1:11" ht="15.75" customHeight="1">
      <c r="B73" s="60"/>
      <c r="C73" s="61"/>
      <c r="D73" s="60"/>
      <c r="E73" s="62"/>
      <c r="F73" s="63">
        <f t="shared" ref="F73:F77" si="10">D73*E73</f>
        <v>0</v>
      </c>
    </row>
    <row r="74" spans="1:11" ht="15.75" customHeight="1">
      <c r="B74" s="60"/>
      <c r="C74" s="61"/>
      <c r="D74" s="60"/>
      <c r="E74" s="62"/>
      <c r="F74" s="63">
        <f t="shared" si="10"/>
        <v>0</v>
      </c>
    </row>
    <row r="75" spans="1:11" ht="15.75" customHeight="1">
      <c r="B75" s="60"/>
      <c r="C75" s="61"/>
      <c r="D75" s="60"/>
      <c r="E75" s="62"/>
      <c r="F75" s="63">
        <f t="shared" si="10"/>
        <v>0</v>
      </c>
    </row>
    <row r="76" spans="1:11" ht="15.75" customHeight="1">
      <c r="B76" s="60"/>
      <c r="C76" s="61"/>
      <c r="D76" s="60"/>
      <c r="E76" s="62"/>
      <c r="F76" s="63">
        <f t="shared" si="10"/>
        <v>0</v>
      </c>
    </row>
    <row r="77" spans="1:11" ht="15.75" customHeight="1">
      <c r="B77" s="60"/>
      <c r="C77" s="61"/>
      <c r="D77" s="60"/>
      <c r="E77" s="62"/>
      <c r="F77" s="63">
        <f t="shared" si="10"/>
        <v>0</v>
      </c>
    </row>
    <row r="78" spans="1:11" ht="15.75" customHeight="1">
      <c r="B78" s="405" t="s">
        <v>87</v>
      </c>
      <c r="C78" s="382"/>
      <c r="D78" s="382"/>
      <c r="E78" s="383"/>
      <c r="F78" s="64">
        <f>SUM(F72:F77)</f>
        <v>550000</v>
      </c>
    </row>
    <row r="79" spans="1:11" ht="15.75" customHeight="1"/>
    <row r="80" spans="1:11" ht="15.75" customHeight="1">
      <c r="A80" s="396" t="s">
        <v>142</v>
      </c>
      <c r="B80" s="378"/>
      <c r="C80" s="378"/>
      <c r="D80" s="378"/>
      <c r="E80" s="378"/>
      <c r="F80" s="378"/>
      <c r="G80" s="378"/>
    </row>
    <row r="81" spans="1:7" ht="15.75" customHeight="1"/>
    <row r="82" spans="1:7" ht="15.75" customHeight="1"/>
    <row r="83" spans="1:7" ht="15.75" customHeight="1">
      <c r="A83">
        <v>2.4</v>
      </c>
      <c r="B83" s="394" t="s">
        <v>143</v>
      </c>
      <c r="C83" s="378"/>
      <c r="D83" s="378"/>
      <c r="E83" s="378"/>
      <c r="F83" s="378"/>
    </row>
    <row r="84" spans="1:7" ht="15.75" customHeight="1"/>
    <row r="85" spans="1:7" ht="15.75" customHeight="1">
      <c r="B85" s="58" t="s">
        <v>81</v>
      </c>
      <c r="C85" s="59" t="s">
        <v>82</v>
      </c>
      <c r="D85" s="59" t="s">
        <v>130</v>
      </c>
      <c r="E85" s="59" t="s">
        <v>131</v>
      </c>
      <c r="F85" s="59" t="s">
        <v>83</v>
      </c>
    </row>
    <row r="86" spans="1:7" ht="15.75" customHeight="1">
      <c r="B86" s="60">
        <v>1</v>
      </c>
      <c r="C86" s="61" t="s">
        <v>708</v>
      </c>
      <c r="D86" s="60">
        <v>2</v>
      </c>
      <c r="E86" s="62"/>
      <c r="F86" s="63">
        <v>150000</v>
      </c>
    </row>
    <row r="87" spans="1:7" ht="15.75" customHeight="1">
      <c r="B87" s="60"/>
      <c r="C87" s="61"/>
      <c r="D87" s="60"/>
      <c r="E87" s="62"/>
      <c r="F87" s="63">
        <f t="shared" ref="F87:F91" si="11">D87*E87</f>
        <v>0</v>
      </c>
    </row>
    <row r="88" spans="1:7" ht="15.75" customHeight="1">
      <c r="B88" s="60"/>
      <c r="C88" s="61"/>
      <c r="D88" s="60"/>
      <c r="E88" s="62"/>
      <c r="F88" s="63">
        <f t="shared" si="11"/>
        <v>0</v>
      </c>
    </row>
    <row r="89" spans="1:7" ht="15.75" customHeight="1">
      <c r="B89" s="60"/>
      <c r="C89" s="61"/>
      <c r="D89" s="60"/>
      <c r="E89" s="62"/>
      <c r="F89" s="63">
        <f t="shared" si="11"/>
        <v>0</v>
      </c>
    </row>
    <row r="90" spans="1:7" ht="15.75" customHeight="1">
      <c r="B90" s="60"/>
      <c r="C90" s="61"/>
      <c r="D90" s="60"/>
      <c r="E90" s="62"/>
      <c r="F90" s="63">
        <f t="shared" si="11"/>
        <v>0</v>
      </c>
    </row>
    <row r="91" spans="1:7" ht="15.75" customHeight="1">
      <c r="B91" s="60"/>
      <c r="C91" s="61"/>
      <c r="D91" s="60"/>
      <c r="E91" s="62"/>
      <c r="F91" s="63">
        <f t="shared" si="11"/>
        <v>0</v>
      </c>
    </row>
    <row r="92" spans="1:7" ht="15.75" customHeight="1">
      <c r="B92" s="405" t="s">
        <v>87</v>
      </c>
      <c r="C92" s="382"/>
      <c r="D92" s="382"/>
      <c r="E92" s="383"/>
      <c r="F92" s="64">
        <f>SUM(F86:F91)</f>
        <v>150000</v>
      </c>
    </row>
    <row r="93" spans="1:7" ht="15.75" customHeight="1"/>
    <row r="94" spans="1:7" ht="15.75" customHeight="1">
      <c r="A94" s="396" t="s">
        <v>142</v>
      </c>
      <c r="B94" s="378"/>
      <c r="C94" s="378"/>
      <c r="D94" s="378"/>
      <c r="E94" s="378"/>
      <c r="F94" s="378"/>
      <c r="G94" s="378"/>
    </row>
    <row r="95" spans="1:7" ht="15.75" customHeight="1"/>
    <row r="96" spans="1:7" ht="15.75" customHeight="1"/>
    <row r="97" spans="1:7" ht="15.75" customHeight="1">
      <c r="A97">
        <v>2.5</v>
      </c>
      <c r="B97" s="394" t="s">
        <v>144</v>
      </c>
      <c r="C97" s="378"/>
      <c r="D97" s="378"/>
      <c r="E97" s="378"/>
      <c r="F97" s="378"/>
    </row>
    <row r="98" spans="1:7" ht="15.75" customHeight="1"/>
    <row r="99" spans="1:7" ht="15.75" customHeight="1">
      <c r="B99" s="65" t="s">
        <v>81</v>
      </c>
      <c r="C99" s="38" t="s">
        <v>82</v>
      </c>
      <c r="D99" s="38" t="s">
        <v>130</v>
      </c>
      <c r="E99" s="38" t="s">
        <v>131</v>
      </c>
      <c r="F99" s="38" t="s">
        <v>83</v>
      </c>
    </row>
    <row r="100" spans="1:7" ht="15.75" customHeight="1">
      <c r="B100" s="49">
        <v>1</v>
      </c>
      <c r="C100" s="43"/>
      <c r="D100" s="49"/>
      <c r="E100" s="66"/>
      <c r="F100" s="51">
        <f t="shared" ref="F100:F102" si="12">E100*D100</f>
        <v>0</v>
      </c>
    </row>
    <row r="101" spans="1:7" ht="15.75" customHeight="1">
      <c r="B101" s="49"/>
      <c r="C101" s="43"/>
      <c r="D101" s="49"/>
      <c r="E101" s="66"/>
      <c r="F101" s="51">
        <f t="shared" si="12"/>
        <v>0</v>
      </c>
    </row>
    <row r="102" spans="1:7" ht="15.75" customHeight="1">
      <c r="B102" s="49"/>
      <c r="C102" s="43"/>
      <c r="D102" s="49"/>
      <c r="E102" s="66"/>
      <c r="F102" s="51">
        <f t="shared" si="12"/>
        <v>0</v>
      </c>
    </row>
    <row r="103" spans="1:7" ht="15.75" customHeight="1">
      <c r="B103" s="401" t="s">
        <v>87</v>
      </c>
      <c r="C103" s="382"/>
      <c r="D103" s="382"/>
      <c r="E103" s="383"/>
      <c r="F103" s="47">
        <f>SUM(F100:F102)</f>
        <v>0</v>
      </c>
    </row>
    <row r="104" spans="1:7" ht="15.75" customHeight="1">
      <c r="A104" s="402" t="s">
        <v>145</v>
      </c>
      <c r="B104" s="403"/>
      <c r="C104" s="403"/>
      <c r="D104" s="403"/>
      <c r="E104" s="403"/>
      <c r="F104" s="403"/>
      <c r="G104" s="404"/>
    </row>
    <row r="105" spans="1:7" ht="15.75" customHeight="1"/>
    <row r="106" spans="1:7" ht="15.75" customHeight="1"/>
    <row r="107" spans="1:7" ht="15.75" customHeight="1">
      <c r="A107">
        <v>2.6</v>
      </c>
      <c r="B107" s="394" t="s">
        <v>146</v>
      </c>
      <c r="C107" s="378"/>
      <c r="D107" s="378"/>
    </row>
    <row r="108" spans="1:7" ht="15.75" customHeight="1"/>
    <row r="109" spans="1:7" ht="15.75" customHeight="1">
      <c r="B109" s="67" t="s">
        <v>81</v>
      </c>
      <c r="C109" s="68" t="s">
        <v>82</v>
      </c>
      <c r="D109" s="68" t="s">
        <v>147</v>
      </c>
    </row>
    <row r="110" spans="1:7" ht="15.75" customHeight="1">
      <c r="B110" s="69">
        <v>1</v>
      </c>
      <c r="C110" s="70" t="s">
        <v>711</v>
      </c>
      <c r="D110" s="71">
        <v>100000</v>
      </c>
    </row>
    <row r="111" spans="1:7" ht="15.75" customHeight="1">
      <c r="B111" s="69">
        <v>2</v>
      </c>
      <c r="C111" s="70"/>
      <c r="D111" s="71"/>
    </row>
    <row r="112" spans="1:7" ht="15.75" customHeight="1">
      <c r="B112" s="69">
        <v>3</v>
      </c>
      <c r="C112" s="70"/>
      <c r="D112" s="71"/>
    </row>
    <row r="113" spans="1:5" ht="15.75" customHeight="1">
      <c r="B113" s="69"/>
      <c r="C113" s="70"/>
      <c r="D113" s="71"/>
    </row>
    <row r="114" spans="1:5" ht="15.75" customHeight="1">
      <c r="B114" s="69"/>
      <c r="C114" s="70"/>
      <c r="D114" s="71"/>
    </row>
    <row r="115" spans="1:5" ht="15.75" customHeight="1">
      <c r="B115" s="398" t="s">
        <v>87</v>
      </c>
      <c r="C115" s="399"/>
      <c r="D115" s="72">
        <f>SUM(D110:D114)</f>
        <v>100000</v>
      </c>
    </row>
    <row r="116" spans="1:5" ht="15.75" customHeight="1"/>
    <row r="117" spans="1:5" ht="25.5" customHeight="1">
      <c r="A117" s="400" t="s">
        <v>148</v>
      </c>
      <c r="B117" s="378"/>
      <c r="C117" s="378"/>
      <c r="D117" s="378"/>
      <c r="E117" s="378"/>
    </row>
  </sheetData>
  <mergeCells count="22">
    <mergeCell ref="B12:F12"/>
    <mergeCell ref="B2:G2"/>
    <mergeCell ref="B15:G15"/>
    <mergeCell ref="B65:H65"/>
    <mergeCell ref="B63:F63"/>
    <mergeCell ref="B17:H17"/>
    <mergeCell ref="B32:C32"/>
    <mergeCell ref="B47:C47"/>
    <mergeCell ref="B55:C55"/>
    <mergeCell ref="B61:C61"/>
    <mergeCell ref="B78:E78"/>
    <mergeCell ref="B69:F69"/>
    <mergeCell ref="A80:G80"/>
    <mergeCell ref="B92:E92"/>
    <mergeCell ref="B83:F83"/>
    <mergeCell ref="B115:C115"/>
    <mergeCell ref="A117:E117"/>
    <mergeCell ref="A94:G94"/>
    <mergeCell ref="B97:F97"/>
    <mergeCell ref="B107:D107"/>
    <mergeCell ref="B103:E103"/>
    <mergeCell ref="A104:G104"/>
  </mergeCells>
  <pageMargins left="0.7" right="0.7" top="0.75" bottom="0.75" header="0" footer="0"/>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topLeftCell="A32" workbookViewId="0">
      <selection activeCell="C38" sqref="C38"/>
    </sheetView>
  </sheetViews>
  <sheetFormatPr defaultColWidth="14.42578125" defaultRowHeight="15" customHeight="1"/>
  <cols>
    <col min="1" max="1" width="41.28515625" customWidth="1"/>
    <col min="2" max="2" width="14.5703125" customWidth="1"/>
    <col min="3" max="3" width="13.28515625" customWidth="1"/>
    <col min="4" max="4" width="13.42578125" customWidth="1"/>
    <col min="5" max="5" width="14.85546875" customWidth="1"/>
    <col min="6" max="7" width="14.7109375" customWidth="1"/>
    <col min="8" max="9" width="14.85546875" customWidth="1"/>
    <col min="10" max="10" width="14.7109375" customWidth="1"/>
    <col min="11" max="11" width="14.85546875" customWidth="1"/>
    <col min="12" max="12" width="13.42578125" bestFit="1" customWidth="1"/>
    <col min="13" max="16" width="11.5703125" bestFit="1" customWidth="1"/>
    <col min="17" max="17" width="10.5703125" customWidth="1"/>
  </cols>
  <sheetData>
    <row r="2" spans="1:11" ht="18.75">
      <c r="A2" s="394" t="s">
        <v>149</v>
      </c>
      <c r="B2" s="378"/>
      <c r="C2" s="378"/>
      <c r="D2" s="378"/>
      <c r="E2" s="378"/>
      <c r="F2" s="378"/>
      <c r="G2" s="378"/>
      <c r="H2" s="378"/>
      <c r="I2" s="378"/>
      <c r="J2" s="378"/>
      <c r="K2" s="378"/>
    </row>
    <row r="4" spans="1:11">
      <c r="A4" s="73"/>
      <c r="B4" s="73"/>
      <c r="C4" s="73"/>
      <c r="D4" s="73"/>
      <c r="E4" s="74">
        <v>1</v>
      </c>
      <c r="F4" s="75">
        <f t="shared" ref="F4:K4" si="0">(E4*5%)+E4</f>
        <v>1.05</v>
      </c>
      <c r="G4" s="75">
        <f t="shared" si="0"/>
        <v>1.1025</v>
      </c>
      <c r="H4" s="75">
        <f t="shared" si="0"/>
        <v>1.1576250000000001</v>
      </c>
      <c r="I4" s="75">
        <f t="shared" si="0"/>
        <v>1.2155062500000002</v>
      </c>
      <c r="J4" s="75">
        <f t="shared" si="0"/>
        <v>1.2762815625000004</v>
      </c>
      <c r="K4" s="75">
        <f t="shared" si="0"/>
        <v>1.3400956406250004</v>
      </c>
    </row>
    <row r="5" spans="1:11">
      <c r="A5" s="73"/>
      <c r="B5" s="73"/>
      <c r="C5" s="73"/>
      <c r="D5" s="73"/>
      <c r="E5" s="73"/>
      <c r="F5" s="73"/>
      <c r="G5" s="73"/>
      <c r="H5" s="73"/>
      <c r="I5" s="73"/>
      <c r="J5" s="73"/>
      <c r="K5" s="73"/>
    </row>
    <row r="6" spans="1:11">
      <c r="A6" s="76" t="s">
        <v>150</v>
      </c>
      <c r="B6" s="76" t="s">
        <v>121</v>
      </c>
      <c r="C6" s="76" t="s">
        <v>151</v>
      </c>
      <c r="D6" s="76" t="s">
        <v>152</v>
      </c>
      <c r="E6" s="77" t="s">
        <v>153</v>
      </c>
      <c r="F6" s="77" t="s">
        <v>154</v>
      </c>
      <c r="G6" s="77" t="s">
        <v>155</v>
      </c>
      <c r="H6" s="77" t="s">
        <v>156</v>
      </c>
      <c r="I6" s="77" t="s">
        <v>157</v>
      </c>
      <c r="J6" s="77" t="s">
        <v>158</v>
      </c>
      <c r="K6" s="77" t="s">
        <v>159</v>
      </c>
    </row>
    <row r="7" spans="1:11">
      <c r="A7" s="78"/>
      <c r="B7" s="78"/>
      <c r="C7" s="78"/>
      <c r="D7" s="78"/>
      <c r="E7" s="78"/>
      <c r="F7" s="78"/>
      <c r="G7" s="78"/>
      <c r="H7" s="78"/>
      <c r="I7" s="78"/>
      <c r="J7" s="78"/>
      <c r="K7" s="78"/>
    </row>
    <row r="8" spans="1:11">
      <c r="A8" s="78" t="s">
        <v>160</v>
      </c>
      <c r="B8" s="78" t="s">
        <v>161</v>
      </c>
      <c r="C8" s="50">
        <v>2</v>
      </c>
      <c r="D8" s="79">
        <v>30000</v>
      </c>
      <c r="E8" s="80">
        <f t="shared" ref="E8:K8" si="1">$C8*$D8*12*E$4</f>
        <v>720000</v>
      </c>
      <c r="F8" s="80">
        <f t="shared" si="1"/>
        <v>756000</v>
      </c>
      <c r="G8" s="80">
        <f t="shared" si="1"/>
        <v>793800</v>
      </c>
      <c r="H8" s="80">
        <f t="shared" si="1"/>
        <v>833490.00000000012</v>
      </c>
      <c r="I8" s="80">
        <f t="shared" si="1"/>
        <v>875164.50000000012</v>
      </c>
      <c r="J8" s="80">
        <f t="shared" si="1"/>
        <v>918922.72500000021</v>
      </c>
      <c r="K8" s="80">
        <f t="shared" si="1"/>
        <v>964868.86125000031</v>
      </c>
    </row>
    <row r="9" spans="1:11">
      <c r="A9" s="78" t="s">
        <v>162</v>
      </c>
      <c r="B9" s="78" t="s">
        <v>161</v>
      </c>
      <c r="C9" s="50">
        <v>2</v>
      </c>
      <c r="D9" s="79">
        <v>20000</v>
      </c>
      <c r="E9" s="80">
        <f t="shared" ref="E9:K9" si="2">$C9*$D9*12*E$4</f>
        <v>480000</v>
      </c>
      <c r="F9" s="80">
        <f t="shared" si="2"/>
        <v>504000</v>
      </c>
      <c r="G9" s="80">
        <f t="shared" si="2"/>
        <v>529200</v>
      </c>
      <c r="H9" s="80">
        <f t="shared" si="2"/>
        <v>555660.00000000012</v>
      </c>
      <c r="I9" s="80">
        <f t="shared" si="2"/>
        <v>583443.00000000012</v>
      </c>
      <c r="J9" s="80">
        <f t="shared" si="2"/>
        <v>612615.15000000014</v>
      </c>
      <c r="K9" s="80">
        <f t="shared" si="2"/>
        <v>643245.9075000002</v>
      </c>
    </row>
    <row r="10" spans="1:11">
      <c r="A10" s="78" t="s">
        <v>163</v>
      </c>
      <c r="B10" s="78" t="s">
        <v>161</v>
      </c>
      <c r="C10" s="50">
        <v>2</v>
      </c>
      <c r="D10" s="79">
        <v>8000</v>
      </c>
      <c r="E10" s="80">
        <f t="shared" ref="E10:K10" si="3">$C10*$D10*12*E$4</f>
        <v>192000</v>
      </c>
      <c r="F10" s="80">
        <f t="shared" si="3"/>
        <v>201600</v>
      </c>
      <c r="G10" s="80">
        <f t="shared" si="3"/>
        <v>211680</v>
      </c>
      <c r="H10" s="80">
        <f t="shared" si="3"/>
        <v>222264.00000000003</v>
      </c>
      <c r="I10" s="80">
        <f t="shared" si="3"/>
        <v>233377.20000000004</v>
      </c>
      <c r="J10" s="80">
        <f t="shared" si="3"/>
        <v>245046.06000000006</v>
      </c>
      <c r="K10" s="80">
        <f t="shared" si="3"/>
        <v>257298.36300000007</v>
      </c>
    </row>
    <row r="11" spans="1:11">
      <c r="A11" s="78" t="s">
        <v>164</v>
      </c>
      <c r="B11" s="78" t="s">
        <v>165</v>
      </c>
      <c r="C11" s="78">
        <v>12</v>
      </c>
      <c r="D11" s="79">
        <v>1500</v>
      </c>
      <c r="E11" s="80">
        <f t="shared" ref="E11:K11" si="4">$C11*$D11*E$4</f>
        <v>18000</v>
      </c>
      <c r="F11" s="80">
        <f t="shared" si="4"/>
        <v>18900</v>
      </c>
      <c r="G11" s="80">
        <f t="shared" si="4"/>
        <v>19845</v>
      </c>
      <c r="H11" s="80">
        <f t="shared" si="4"/>
        <v>20837.250000000004</v>
      </c>
      <c r="I11" s="80">
        <f t="shared" si="4"/>
        <v>21879.112500000003</v>
      </c>
      <c r="J11" s="80">
        <f t="shared" si="4"/>
        <v>22973.068125000005</v>
      </c>
      <c r="K11" s="80">
        <f t="shared" si="4"/>
        <v>24121.721531250008</v>
      </c>
    </row>
    <row r="12" spans="1:11">
      <c r="A12" s="78" t="s">
        <v>166</v>
      </c>
      <c r="B12" s="78" t="s">
        <v>165</v>
      </c>
      <c r="C12" s="78">
        <v>12</v>
      </c>
      <c r="D12" s="79">
        <v>3000</v>
      </c>
      <c r="E12" s="80">
        <f t="shared" ref="E12:K12" si="5">$C12*$D12*E$4</f>
        <v>36000</v>
      </c>
      <c r="F12" s="80">
        <f t="shared" si="5"/>
        <v>37800</v>
      </c>
      <c r="G12" s="80">
        <f t="shared" si="5"/>
        <v>39690</v>
      </c>
      <c r="H12" s="80">
        <f t="shared" si="5"/>
        <v>41674.500000000007</v>
      </c>
      <c r="I12" s="80">
        <f t="shared" si="5"/>
        <v>43758.225000000006</v>
      </c>
      <c r="J12" s="80">
        <f t="shared" si="5"/>
        <v>45946.13625000001</v>
      </c>
      <c r="K12" s="80">
        <f t="shared" si="5"/>
        <v>48243.443062500017</v>
      </c>
    </row>
    <row r="13" spans="1:11">
      <c r="A13" s="78" t="s">
        <v>167</v>
      </c>
      <c r="B13" s="78" t="s">
        <v>165</v>
      </c>
      <c r="C13" s="78">
        <v>12</v>
      </c>
      <c r="D13" s="79">
        <v>2500</v>
      </c>
      <c r="E13" s="80">
        <f t="shared" ref="E13:K13" si="6">$C13*$D13*E$4</f>
        <v>30000</v>
      </c>
      <c r="F13" s="80">
        <f t="shared" si="6"/>
        <v>31500</v>
      </c>
      <c r="G13" s="80">
        <f t="shared" si="6"/>
        <v>33075</v>
      </c>
      <c r="H13" s="80">
        <f t="shared" si="6"/>
        <v>34728.750000000007</v>
      </c>
      <c r="I13" s="80">
        <f t="shared" si="6"/>
        <v>36465.187500000007</v>
      </c>
      <c r="J13" s="80">
        <f t="shared" si="6"/>
        <v>38288.446875000009</v>
      </c>
      <c r="K13" s="80">
        <f t="shared" si="6"/>
        <v>40202.869218750013</v>
      </c>
    </row>
    <row r="14" spans="1:11">
      <c r="A14" s="78" t="s">
        <v>168</v>
      </c>
      <c r="B14" s="78" t="s">
        <v>165</v>
      </c>
      <c r="C14" s="78">
        <v>12</v>
      </c>
      <c r="D14" s="79">
        <v>15000</v>
      </c>
      <c r="E14" s="80">
        <f t="shared" ref="E14:K14" si="7">$C14*$D14*E$4</f>
        <v>180000</v>
      </c>
      <c r="F14" s="80">
        <f t="shared" si="7"/>
        <v>189000</v>
      </c>
      <c r="G14" s="80">
        <f t="shared" si="7"/>
        <v>198450</v>
      </c>
      <c r="H14" s="80">
        <f t="shared" si="7"/>
        <v>208372.50000000003</v>
      </c>
      <c r="I14" s="80">
        <f t="shared" si="7"/>
        <v>218791.12500000003</v>
      </c>
      <c r="J14" s="80">
        <f t="shared" si="7"/>
        <v>229730.68125000005</v>
      </c>
      <c r="K14" s="80">
        <f t="shared" si="7"/>
        <v>241217.21531250008</v>
      </c>
    </row>
    <row r="15" spans="1:11">
      <c r="A15" s="78" t="s">
        <v>169</v>
      </c>
      <c r="B15" s="78" t="s">
        <v>165</v>
      </c>
      <c r="C15" s="78">
        <v>12</v>
      </c>
      <c r="D15" s="79">
        <v>25000</v>
      </c>
      <c r="E15" s="80">
        <f t="shared" ref="E15:K15" si="8">$C15*$D15*E$4</f>
        <v>300000</v>
      </c>
      <c r="F15" s="80">
        <f t="shared" si="8"/>
        <v>315000</v>
      </c>
      <c r="G15" s="80">
        <f t="shared" si="8"/>
        <v>330750</v>
      </c>
      <c r="H15" s="80">
        <f t="shared" si="8"/>
        <v>347287.50000000006</v>
      </c>
      <c r="I15" s="80">
        <f t="shared" si="8"/>
        <v>364651.87500000006</v>
      </c>
      <c r="J15" s="80">
        <f t="shared" si="8"/>
        <v>382884.46875000012</v>
      </c>
      <c r="K15" s="80">
        <f t="shared" si="8"/>
        <v>402028.69218750013</v>
      </c>
    </row>
    <row r="16" spans="1:11">
      <c r="A16" s="78" t="s">
        <v>170</v>
      </c>
      <c r="B16" s="78" t="s">
        <v>171</v>
      </c>
      <c r="C16" s="78">
        <v>1</v>
      </c>
      <c r="D16" s="79">
        <v>150000</v>
      </c>
      <c r="E16" s="80">
        <f t="shared" ref="E16:K16" si="9">$D16*E$4*$C16</f>
        <v>150000</v>
      </c>
      <c r="F16" s="80">
        <f t="shared" si="9"/>
        <v>157500</v>
      </c>
      <c r="G16" s="80">
        <f t="shared" si="9"/>
        <v>165375</v>
      </c>
      <c r="H16" s="80">
        <f t="shared" si="9"/>
        <v>173643.75000000003</v>
      </c>
      <c r="I16" s="80">
        <f t="shared" si="9"/>
        <v>182325.93750000003</v>
      </c>
      <c r="J16" s="80">
        <f t="shared" si="9"/>
        <v>191442.23437500006</v>
      </c>
      <c r="K16" s="80">
        <f t="shared" si="9"/>
        <v>201014.34609375006</v>
      </c>
    </row>
    <row r="17" spans="1:17">
      <c r="A17" s="78"/>
      <c r="B17" s="78"/>
      <c r="C17" s="78"/>
      <c r="D17" s="79"/>
      <c r="E17" s="80">
        <f t="shared" ref="E17:K17" si="10">$D17*E$4*$C17</f>
        <v>0</v>
      </c>
      <c r="F17" s="80">
        <f t="shared" si="10"/>
        <v>0</v>
      </c>
      <c r="G17" s="80">
        <f t="shared" si="10"/>
        <v>0</v>
      </c>
      <c r="H17" s="80">
        <f t="shared" si="10"/>
        <v>0</v>
      </c>
      <c r="I17" s="80">
        <f t="shared" si="10"/>
        <v>0</v>
      </c>
      <c r="J17" s="80">
        <f t="shared" si="10"/>
        <v>0</v>
      </c>
      <c r="K17" s="80">
        <f t="shared" si="10"/>
        <v>0</v>
      </c>
    </row>
    <row r="18" spans="1:17">
      <c r="A18" s="78"/>
      <c r="B18" s="78"/>
      <c r="C18" s="78"/>
      <c r="D18" s="79"/>
      <c r="E18" s="80">
        <f t="shared" ref="E18:K18" si="11">$D18*E$4*$C18</f>
        <v>0</v>
      </c>
      <c r="F18" s="80">
        <f t="shared" si="11"/>
        <v>0</v>
      </c>
      <c r="G18" s="80">
        <f t="shared" si="11"/>
        <v>0</v>
      </c>
      <c r="H18" s="80">
        <f t="shared" si="11"/>
        <v>0</v>
      </c>
      <c r="I18" s="80">
        <f t="shared" si="11"/>
        <v>0</v>
      </c>
      <c r="J18" s="80">
        <f t="shared" si="11"/>
        <v>0</v>
      </c>
      <c r="K18" s="80">
        <f t="shared" si="11"/>
        <v>0</v>
      </c>
    </row>
    <row r="19" spans="1:17">
      <c r="A19" s="78"/>
      <c r="B19" s="78"/>
      <c r="C19" s="78"/>
      <c r="D19" s="79"/>
      <c r="E19" s="80">
        <f t="shared" ref="E19:K19" si="12">$D19*E$4*$C19</f>
        <v>0</v>
      </c>
      <c r="F19" s="80">
        <f t="shared" si="12"/>
        <v>0</v>
      </c>
      <c r="G19" s="80">
        <f t="shared" si="12"/>
        <v>0</v>
      </c>
      <c r="H19" s="80">
        <f t="shared" si="12"/>
        <v>0</v>
      </c>
      <c r="I19" s="80">
        <f t="shared" si="12"/>
        <v>0</v>
      </c>
      <c r="J19" s="80">
        <f t="shared" si="12"/>
        <v>0</v>
      </c>
      <c r="K19" s="80">
        <f t="shared" si="12"/>
        <v>0</v>
      </c>
    </row>
    <row r="20" spans="1:17">
      <c r="A20" s="78"/>
      <c r="B20" s="78"/>
      <c r="C20" s="78"/>
      <c r="D20" s="79"/>
      <c r="E20" s="80">
        <f t="shared" ref="E20:K20" si="13">$D20*E$4*$C20</f>
        <v>0</v>
      </c>
      <c r="F20" s="80">
        <f t="shared" si="13"/>
        <v>0</v>
      </c>
      <c r="G20" s="80">
        <f t="shared" si="13"/>
        <v>0</v>
      </c>
      <c r="H20" s="80">
        <f t="shared" si="13"/>
        <v>0</v>
      </c>
      <c r="I20" s="80">
        <f t="shared" si="13"/>
        <v>0</v>
      </c>
      <c r="J20" s="80">
        <f t="shared" si="13"/>
        <v>0</v>
      </c>
      <c r="K20" s="80">
        <f t="shared" si="13"/>
        <v>0</v>
      </c>
    </row>
    <row r="21" spans="1:17" ht="15.75" customHeight="1">
      <c r="A21" s="78"/>
      <c r="B21" s="78"/>
      <c r="C21" s="78"/>
      <c r="D21" s="79"/>
      <c r="E21" s="80">
        <f t="shared" ref="E21:K21" si="14">$D21*E$4*$C21</f>
        <v>0</v>
      </c>
      <c r="F21" s="80">
        <f t="shared" si="14"/>
        <v>0</v>
      </c>
      <c r="G21" s="80">
        <f t="shared" si="14"/>
        <v>0</v>
      </c>
      <c r="H21" s="80">
        <f t="shared" si="14"/>
        <v>0</v>
      </c>
      <c r="I21" s="80">
        <f t="shared" si="14"/>
        <v>0</v>
      </c>
      <c r="J21" s="80">
        <f t="shared" si="14"/>
        <v>0</v>
      </c>
      <c r="K21" s="80">
        <f t="shared" si="14"/>
        <v>0</v>
      </c>
    </row>
    <row r="22" spans="1:17" ht="15.75" customHeight="1">
      <c r="A22" s="78"/>
      <c r="B22" s="78"/>
      <c r="C22" s="78"/>
      <c r="D22" s="80"/>
      <c r="E22" s="80">
        <f t="shared" ref="E22:K22" si="15">$D22*E$4*$C22</f>
        <v>0</v>
      </c>
      <c r="F22" s="80">
        <f t="shared" si="15"/>
        <v>0</v>
      </c>
      <c r="G22" s="80">
        <f t="shared" si="15"/>
        <v>0</v>
      </c>
      <c r="H22" s="80">
        <f t="shared" si="15"/>
        <v>0</v>
      </c>
      <c r="I22" s="80">
        <f t="shared" si="15"/>
        <v>0</v>
      </c>
      <c r="J22" s="80">
        <f t="shared" si="15"/>
        <v>0</v>
      </c>
      <c r="K22" s="80">
        <f t="shared" si="15"/>
        <v>0</v>
      </c>
    </row>
    <row r="23" spans="1:17" ht="15.75" customHeight="1">
      <c r="A23" s="81" t="s">
        <v>172</v>
      </c>
      <c r="B23" s="81"/>
      <c r="C23" s="81"/>
      <c r="D23" s="82"/>
      <c r="E23" s="82">
        <f t="shared" ref="E23:K23" si="16">SUM(E8:E22)</f>
        <v>2106000</v>
      </c>
      <c r="F23" s="82">
        <f t="shared" si="16"/>
        <v>2211300</v>
      </c>
      <c r="G23" s="82">
        <f t="shared" si="16"/>
        <v>2321865</v>
      </c>
      <c r="H23" s="82">
        <f t="shared" si="16"/>
        <v>2437958.2500000005</v>
      </c>
      <c r="I23" s="82">
        <f t="shared" si="16"/>
        <v>2559856.1625000006</v>
      </c>
      <c r="J23" s="82">
        <f t="shared" si="16"/>
        <v>2687848.9706250005</v>
      </c>
      <c r="K23" s="82">
        <f t="shared" si="16"/>
        <v>2822241.419156251</v>
      </c>
    </row>
    <row r="24" spans="1:17" ht="15.75" customHeight="1"/>
    <row r="25" spans="1:17" ht="15.75" customHeight="1"/>
    <row r="26" spans="1:17" ht="15.75" customHeight="1"/>
    <row r="27" spans="1:17" ht="15.75" customHeight="1"/>
    <row r="28" spans="1:17" ht="15.75" customHeight="1">
      <c r="A28" s="409"/>
      <c r="B28" s="378"/>
      <c r="C28" s="378"/>
      <c r="D28" s="378"/>
      <c r="E28" s="378"/>
      <c r="F28" s="378"/>
      <c r="G28" s="378"/>
      <c r="H28" s="378"/>
      <c r="I28" s="378"/>
      <c r="J28" s="378"/>
      <c r="K28" s="378"/>
      <c r="L28" s="378"/>
      <c r="M28" s="378"/>
      <c r="N28" s="378"/>
      <c r="O28" s="378"/>
    </row>
    <row r="29" spans="1:17" ht="15.75" customHeight="1">
      <c r="A29" s="407" t="s">
        <v>173</v>
      </c>
      <c r="B29" s="378"/>
      <c r="C29" s="378"/>
      <c r="D29" s="378"/>
      <c r="E29" s="378"/>
      <c r="F29" s="378"/>
      <c r="G29" s="378"/>
      <c r="H29" s="378"/>
      <c r="I29" s="378"/>
      <c r="J29" s="378"/>
      <c r="K29" s="378"/>
      <c r="L29" s="378"/>
      <c r="M29" s="378"/>
      <c r="N29" s="378"/>
      <c r="O29" s="378"/>
      <c r="P29" s="378"/>
      <c r="Q29" s="378"/>
    </row>
    <row r="30" spans="1:17" ht="15.75" customHeight="1">
      <c r="A30" s="83"/>
      <c r="B30" s="83"/>
      <c r="C30" s="83"/>
      <c r="D30" s="83"/>
      <c r="E30" s="83"/>
      <c r="F30" s="83"/>
      <c r="G30" s="83"/>
      <c r="H30" s="83"/>
      <c r="I30" s="83"/>
      <c r="J30" s="83"/>
      <c r="K30" s="83"/>
      <c r="L30" s="83"/>
      <c r="M30" s="83"/>
      <c r="N30" s="83"/>
      <c r="O30" s="83"/>
      <c r="P30" s="84"/>
      <c r="Q30" s="84"/>
    </row>
    <row r="31" spans="1:17" ht="15.75" customHeight="1">
      <c r="A31" s="73"/>
      <c r="B31" s="73"/>
      <c r="C31" s="410" t="s">
        <v>174</v>
      </c>
      <c r="D31" s="380"/>
      <c r="E31" s="380"/>
      <c r="F31" s="380"/>
      <c r="G31" s="380"/>
      <c r="H31" s="380"/>
      <c r="I31" s="380"/>
      <c r="J31" s="73"/>
      <c r="K31" s="411" t="s">
        <v>175</v>
      </c>
      <c r="L31" s="380"/>
      <c r="M31" s="380"/>
      <c r="N31" s="380"/>
      <c r="O31" s="380"/>
      <c r="P31" s="380"/>
      <c r="Q31" s="380"/>
    </row>
    <row r="32" spans="1:17" ht="15.75" customHeight="1">
      <c r="A32" s="76" t="s">
        <v>150</v>
      </c>
      <c r="B32" s="85"/>
      <c r="C32" s="86" t="s">
        <v>153</v>
      </c>
      <c r="D32" s="86" t="s">
        <v>154</v>
      </c>
      <c r="E32" s="86" t="s">
        <v>155</v>
      </c>
      <c r="F32" s="86" t="s">
        <v>156</v>
      </c>
      <c r="G32" s="86" t="s">
        <v>157</v>
      </c>
      <c r="H32" s="86" t="s">
        <v>158</v>
      </c>
      <c r="I32" s="86" t="s">
        <v>159</v>
      </c>
      <c r="J32" s="87"/>
      <c r="K32" s="86" t="s">
        <v>153</v>
      </c>
      <c r="L32" s="86" t="s">
        <v>154</v>
      </c>
      <c r="M32" s="86" t="s">
        <v>155</v>
      </c>
      <c r="N32" s="86" t="s">
        <v>156</v>
      </c>
      <c r="O32" s="86" t="s">
        <v>157</v>
      </c>
      <c r="P32" s="86" t="s">
        <v>158</v>
      </c>
      <c r="Q32" s="86" t="s">
        <v>159</v>
      </c>
    </row>
    <row r="33" spans="1:17" ht="15.75" customHeight="1">
      <c r="A33" s="88" t="s">
        <v>176</v>
      </c>
      <c r="B33" s="78"/>
      <c r="C33" s="78"/>
      <c r="D33" s="78"/>
      <c r="E33" s="78"/>
      <c r="F33" s="78"/>
      <c r="G33" s="89"/>
      <c r="H33" s="89"/>
      <c r="I33" s="89"/>
      <c r="J33" s="78"/>
      <c r="K33" s="78"/>
      <c r="L33" s="78"/>
      <c r="M33" s="78"/>
      <c r="N33" s="78"/>
      <c r="O33" s="89"/>
      <c r="P33" s="89"/>
      <c r="Q33" s="89"/>
    </row>
    <row r="34" spans="1:17" ht="15.75" customHeight="1">
      <c r="A34" s="88"/>
      <c r="B34" s="78"/>
      <c r="C34" s="78"/>
      <c r="D34" s="78"/>
      <c r="E34" s="78"/>
      <c r="F34" s="78"/>
      <c r="G34" s="89"/>
      <c r="H34" s="89"/>
      <c r="I34" s="89"/>
      <c r="J34" s="78"/>
      <c r="K34" s="78"/>
      <c r="L34" s="78"/>
      <c r="M34" s="78"/>
      <c r="N34" s="78"/>
      <c r="O34" s="89"/>
      <c r="P34" s="89"/>
      <c r="Q34" s="89"/>
    </row>
    <row r="35" spans="1:17" ht="15.75" customHeight="1">
      <c r="A35" s="90"/>
      <c r="B35" s="90"/>
      <c r="C35" s="78"/>
      <c r="D35" s="78"/>
      <c r="E35" s="78"/>
      <c r="F35" s="78"/>
      <c r="G35" s="78"/>
      <c r="H35" s="78"/>
      <c r="I35" s="78"/>
      <c r="J35" s="78"/>
      <c r="K35" s="78"/>
      <c r="L35" s="78"/>
      <c r="M35" s="78"/>
      <c r="N35" s="78"/>
      <c r="O35" s="78"/>
      <c r="P35" s="78"/>
      <c r="Q35" s="78"/>
    </row>
    <row r="36" spans="1:17" ht="15.75" customHeight="1">
      <c r="A36" s="91" t="s">
        <v>177</v>
      </c>
      <c r="B36" s="91"/>
      <c r="C36" s="78"/>
      <c r="D36" s="78"/>
      <c r="E36" s="78"/>
      <c r="F36" s="78"/>
      <c r="G36" s="78"/>
      <c r="H36" s="78"/>
      <c r="I36" s="78"/>
      <c r="J36" s="78"/>
      <c r="K36" s="78"/>
      <c r="L36" s="78"/>
      <c r="M36" s="78"/>
      <c r="N36" s="78"/>
      <c r="O36" s="78"/>
      <c r="P36" s="78"/>
      <c r="Q36" s="78"/>
    </row>
    <row r="37" spans="1:17" ht="15.75" customHeight="1">
      <c r="A37" s="90" t="s">
        <v>178</v>
      </c>
      <c r="B37" s="90"/>
      <c r="C37" s="92">
        <f>'2.Capex Details'!G12</f>
        <v>4332495</v>
      </c>
      <c r="D37" s="92">
        <f t="shared" ref="D37:I37" si="17">C40</f>
        <v>4195154.9084999999</v>
      </c>
      <c r="E37" s="92">
        <f t="shared" si="17"/>
        <v>4057814.8169999998</v>
      </c>
      <c r="F37" s="92">
        <f t="shared" si="17"/>
        <v>3920474.7254999997</v>
      </c>
      <c r="G37" s="92">
        <f t="shared" si="17"/>
        <v>3783134.6339999996</v>
      </c>
      <c r="H37" s="92">
        <f t="shared" si="17"/>
        <v>3645794.5424999995</v>
      </c>
      <c r="I37" s="92">
        <f t="shared" si="17"/>
        <v>3508454.4509999994</v>
      </c>
      <c r="J37" s="78"/>
      <c r="K37" s="92">
        <f>C37</f>
        <v>4332495</v>
      </c>
      <c r="L37" s="92">
        <f t="shared" ref="L37:Q37" si="18">K40</f>
        <v>3899245.5</v>
      </c>
      <c r="M37" s="92">
        <f t="shared" si="18"/>
        <v>3509320.95</v>
      </c>
      <c r="N37" s="92">
        <f t="shared" si="18"/>
        <v>3158388.855</v>
      </c>
      <c r="O37" s="92">
        <f t="shared" si="18"/>
        <v>2842549.9695000001</v>
      </c>
      <c r="P37" s="92">
        <f t="shared" si="18"/>
        <v>2558294.9725500001</v>
      </c>
      <c r="Q37" s="92">
        <f t="shared" si="18"/>
        <v>2302465.4752950002</v>
      </c>
    </row>
    <row r="38" spans="1:17" ht="15.75" customHeight="1">
      <c r="A38" s="90" t="s">
        <v>179</v>
      </c>
      <c r="B38" s="90"/>
      <c r="C38" s="92">
        <f t="shared" ref="C38:I38" si="19">$C$37*$B$74</f>
        <v>137340.09150000001</v>
      </c>
      <c r="D38" s="92">
        <f t="shared" si="19"/>
        <v>137340.09150000001</v>
      </c>
      <c r="E38" s="92">
        <f t="shared" si="19"/>
        <v>137340.09150000001</v>
      </c>
      <c r="F38" s="92">
        <f t="shared" si="19"/>
        <v>137340.09150000001</v>
      </c>
      <c r="G38" s="92">
        <f t="shared" si="19"/>
        <v>137340.09150000001</v>
      </c>
      <c r="H38" s="92">
        <f t="shared" si="19"/>
        <v>137340.09150000001</v>
      </c>
      <c r="I38" s="92">
        <f t="shared" si="19"/>
        <v>137340.09150000001</v>
      </c>
      <c r="J38" s="78"/>
      <c r="K38" s="92">
        <f t="shared" ref="K38:Q38" si="20">K37*$C$74</f>
        <v>433249.5</v>
      </c>
      <c r="L38" s="92">
        <f t="shared" si="20"/>
        <v>389924.55000000005</v>
      </c>
      <c r="M38" s="92">
        <f t="shared" si="20"/>
        <v>350932.09500000003</v>
      </c>
      <c r="N38" s="92">
        <f t="shared" si="20"/>
        <v>315838.88550000003</v>
      </c>
      <c r="O38" s="92">
        <f t="shared" si="20"/>
        <v>284254.99695</v>
      </c>
      <c r="P38" s="92">
        <f t="shared" si="20"/>
        <v>255829.49725500002</v>
      </c>
      <c r="Q38" s="92">
        <f t="shared" si="20"/>
        <v>230246.54752950004</v>
      </c>
    </row>
    <row r="39" spans="1:17" ht="15.75" customHeight="1">
      <c r="A39" s="90" t="s">
        <v>180</v>
      </c>
      <c r="B39" s="90"/>
      <c r="C39" s="92">
        <f>C38</f>
        <v>137340.09150000001</v>
      </c>
      <c r="D39" s="92">
        <f t="shared" ref="D39:I39" si="21">C39+D38</f>
        <v>274680.18300000002</v>
      </c>
      <c r="E39" s="92">
        <f t="shared" si="21"/>
        <v>412020.27450000006</v>
      </c>
      <c r="F39" s="92">
        <f t="shared" si="21"/>
        <v>549360.36600000004</v>
      </c>
      <c r="G39" s="92">
        <f t="shared" si="21"/>
        <v>686700.45750000002</v>
      </c>
      <c r="H39" s="92">
        <f t="shared" si="21"/>
        <v>824040.549</v>
      </c>
      <c r="I39" s="92">
        <f t="shared" si="21"/>
        <v>961380.64049999998</v>
      </c>
      <c r="J39" s="78"/>
      <c r="K39" s="92">
        <f>K38</f>
        <v>433249.5</v>
      </c>
      <c r="L39" s="92">
        <f t="shared" ref="L39:Q39" si="22">K39+L38</f>
        <v>823174.05</v>
      </c>
      <c r="M39" s="92">
        <f t="shared" si="22"/>
        <v>1174106.145</v>
      </c>
      <c r="N39" s="92">
        <f t="shared" si="22"/>
        <v>1489945.0305000001</v>
      </c>
      <c r="O39" s="92">
        <f t="shared" si="22"/>
        <v>1774200.0274500002</v>
      </c>
      <c r="P39" s="92">
        <f t="shared" si="22"/>
        <v>2030029.5247050002</v>
      </c>
      <c r="Q39" s="92">
        <f t="shared" si="22"/>
        <v>2260276.0722345002</v>
      </c>
    </row>
    <row r="40" spans="1:17" ht="15.75" customHeight="1">
      <c r="A40" s="90" t="s">
        <v>181</v>
      </c>
      <c r="B40" s="90"/>
      <c r="C40" s="92">
        <f t="shared" ref="C40:I40" si="23">C37-C38</f>
        <v>4195154.9084999999</v>
      </c>
      <c r="D40" s="92">
        <f t="shared" si="23"/>
        <v>4057814.8169999998</v>
      </c>
      <c r="E40" s="92">
        <f t="shared" si="23"/>
        <v>3920474.7254999997</v>
      </c>
      <c r="F40" s="92">
        <f t="shared" si="23"/>
        <v>3783134.6339999996</v>
      </c>
      <c r="G40" s="92">
        <f t="shared" si="23"/>
        <v>3645794.5424999995</v>
      </c>
      <c r="H40" s="92">
        <f t="shared" si="23"/>
        <v>3508454.4509999994</v>
      </c>
      <c r="I40" s="92">
        <f t="shared" si="23"/>
        <v>3371114.3594999993</v>
      </c>
      <c r="J40" s="78"/>
      <c r="K40" s="92">
        <f t="shared" ref="K40:Q40" si="24">K37-K38</f>
        <v>3899245.5</v>
      </c>
      <c r="L40" s="92">
        <f t="shared" si="24"/>
        <v>3509320.95</v>
      </c>
      <c r="M40" s="92">
        <f t="shared" si="24"/>
        <v>3158388.855</v>
      </c>
      <c r="N40" s="92">
        <f t="shared" si="24"/>
        <v>2842549.9695000001</v>
      </c>
      <c r="O40" s="92">
        <f t="shared" si="24"/>
        <v>2558294.9725500001</v>
      </c>
      <c r="P40" s="92">
        <f t="shared" si="24"/>
        <v>2302465.4752950002</v>
      </c>
      <c r="Q40" s="92">
        <f t="shared" si="24"/>
        <v>2072218.9277655003</v>
      </c>
    </row>
    <row r="41" spans="1:17" ht="15.75" customHeight="1">
      <c r="A41" s="90"/>
      <c r="B41" s="90"/>
      <c r="C41" s="92"/>
      <c r="D41" s="92"/>
      <c r="E41" s="92"/>
      <c r="F41" s="92"/>
      <c r="G41" s="92"/>
      <c r="H41" s="92"/>
      <c r="I41" s="92"/>
      <c r="J41" s="78"/>
      <c r="K41" s="92"/>
      <c r="L41" s="92"/>
      <c r="M41" s="92"/>
      <c r="N41" s="92"/>
      <c r="O41" s="92"/>
      <c r="P41" s="92"/>
      <c r="Q41" s="92"/>
    </row>
    <row r="42" spans="1:17" ht="15.75" customHeight="1">
      <c r="A42" s="91" t="s">
        <v>182</v>
      </c>
      <c r="B42" s="91"/>
      <c r="C42" s="92"/>
      <c r="D42" s="92"/>
      <c r="E42" s="92"/>
      <c r="F42" s="92"/>
      <c r="G42" s="92"/>
      <c r="H42" s="92"/>
      <c r="I42" s="92"/>
      <c r="J42" s="78"/>
      <c r="K42" s="92"/>
      <c r="L42" s="92"/>
      <c r="M42" s="92"/>
      <c r="N42" s="92"/>
      <c r="O42" s="92"/>
      <c r="P42" s="92"/>
      <c r="Q42" s="92"/>
    </row>
    <row r="43" spans="1:17" ht="15.75" customHeight="1">
      <c r="A43" s="90" t="s">
        <v>178</v>
      </c>
      <c r="B43" s="90"/>
      <c r="C43" s="92">
        <f>'2.Capex Details'!G63</f>
        <v>4392000</v>
      </c>
      <c r="D43" s="92">
        <f t="shared" ref="D43:I43" si="25">C46</f>
        <v>4113986.4</v>
      </c>
      <c r="E43" s="92">
        <f t="shared" si="25"/>
        <v>3835972.8</v>
      </c>
      <c r="F43" s="92">
        <f t="shared" si="25"/>
        <v>3557959.1999999997</v>
      </c>
      <c r="G43" s="92">
        <f t="shared" si="25"/>
        <v>3279945.5999999996</v>
      </c>
      <c r="H43" s="92">
        <f t="shared" si="25"/>
        <v>3001931.9999999995</v>
      </c>
      <c r="I43" s="92">
        <f t="shared" si="25"/>
        <v>2723918.3999999994</v>
      </c>
      <c r="J43" s="78"/>
      <c r="K43" s="92">
        <f>C43</f>
        <v>4392000</v>
      </c>
      <c r="L43" s="92">
        <f t="shared" ref="L43:Q43" si="26">K46</f>
        <v>3733200</v>
      </c>
      <c r="M43" s="92">
        <f t="shared" si="26"/>
        <v>3173220</v>
      </c>
      <c r="N43" s="92">
        <f t="shared" si="26"/>
        <v>2697237</v>
      </c>
      <c r="O43" s="92">
        <f t="shared" si="26"/>
        <v>2292651.4500000002</v>
      </c>
      <c r="P43" s="92">
        <f t="shared" si="26"/>
        <v>1948753.7325000002</v>
      </c>
      <c r="Q43" s="92">
        <f t="shared" si="26"/>
        <v>1656440.6726250001</v>
      </c>
    </row>
    <row r="44" spans="1:17" ht="15.75" customHeight="1">
      <c r="A44" s="90" t="s">
        <v>179</v>
      </c>
      <c r="B44" s="90"/>
      <c r="C44" s="92">
        <f t="shared" ref="C44:I44" si="27">$C$43*$B$78</f>
        <v>278013.59999999998</v>
      </c>
      <c r="D44" s="92">
        <f t="shared" si="27"/>
        <v>278013.59999999998</v>
      </c>
      <c r="E44" s="92">
        <f t="shared" si="27"/>
        <v>278013.59999999998</v>
      </c>
      <c r="F44" s="92">
        <f t="shared" si="27"/>
        <v>278013.59999999998</v>
      </c>
      <c r="G44" s="92">
        <f t="shared" si="27"/>
        <v>278013.59999999998</v>
      </c>
      <c r="H44" s="92">
        <f t="shared" si="27"/>
        <v>278013.59999999998</v>
      </c>
      <c r="I44" s="92">
        <f t="shared" si="27"/>
        <v>278013.59999999998</v>
      </c>
      <c r="J44" s="78"/>
      <c r="K44" s="92">
        <f t="shared" ref="K44:Q44" si="28">K43*$C$78</f>
        <v>658800</v>
      </c>
      <c r="L44" s="92">
        <f t="shared" si="28"/>
        <v>559980</v>
      </c>
      <c r="M44" s="92">
        <f t="shared" si="28"/>
        <v>475983</v>
      </c>
      <c r="N44" s="92">
        <f t="shared" si="28"/>
        <v>404585.55</v>
      </c>
      <c r="O44" s="92">
        <f t="shared" si="28"/>
        <v>343897.71750000003</v>
      </c>
      <c r="P44" s="92">
        <f t="shared" si="28"/>
        <v>292313.05987500004</v>
      </c>
      <c r="Q44" s="92">
        <f t="shared" si="28"/>
        <v>248466.10089375</v>
      </c>
    </row>
    <row r="45" spans="1:17" ht="15.75" customHeight="1">
      <c r="A45" s="90" t="s">
        <v>180</v>
      </c>
      <c r="B45" s="90"/>
      <c r="C45" s="92">
        <f>C44</f>
        <v>278013.59999999998</v>
      </c>
      <c r="D45" s="92">
        <f t="shared" ref="D45:I45" si="29">C45+D44</f>
        <v>556027.19999999995</v>
      </c>
      <c r="E45" s="92">
        <f t="shared" si="29"/>
        <v>834040.79999999993</v>
      </c>
      <c r="F45" s="92">
        <f t="shared" si="29"/>
        <v>1112054.3999999999</v>
      </c>
      <c r="G45" s="92">
        <f t="shared" si="29"/>
        <v>1390068</v>
      </c>
      <c r="H45" s="92">
        <f t="shared" si="29"/>
        <v>1668081.6</v>
      </c>
      <c r="I45" s="92">
        <f t="shared" si="29"/>
        <v>1946095.2000000002</v>
      </c>
      <c r="J45" s="78"/>
      <c r="K45" s="92">
        <f>K44</f>
        <v>658800</v>
      </c>
      <c r="L45" s="92">
        <f t="shared" ref="L45:Q45" si="30">K45+L44</f>
        <v>1218780</v>
      </c>
      <c r="M45" s="92">
        <f t="shared" si="30"/>
        <v>1694763</v>
      </c>
      <c r="N45" s="92">
        <f t="shared" si="30"/>
        <v>2099348.5499999998</v>
      </c>
      <c r="O45" s="92">
        <f t="shared" si="30"/>
        <v>2443246.2675000001</v>
      </c>
      <c r="P45" s="92">
        <f t="shared" si="30"/>
        <v>2735559.3273750003</v>
      </c>
      <c r="Q45" s="92">
        <f t="shared" si="30"/>
        <v>2984025.4282687502</v>
      </c>
    </row>
    <row r="46" spans="1:17" ht="15.75" customHeight="1">
      <c r="A46" s="90" t="s">
        <v>181</v>
      </c>
      <c r="B46" s="90"/>
      <c r="C46" s="92">
        <f t="shared" ref="C46:I46" si="31">C43-C44</f>
        <v>4113986.4</v>
      </c>
      <c r="D46" s="92">
        <f t="shared" si="31"/>
        <v>3835972.8</v>
      </c>
      <c r="E46" s="92">
        <f t="shared" si="31"/>
        <v>3557959.1999999997</v>
      </c>
      <c r="F46" s="92">
        <f t="shared" si="31"/>
        <v>3279945.5999999996</v>
      </c>
      <c r="G46" s="92">
        <f t="shared" si="31"/>
        <v>3001931.9999999995</v>
      </c>
      <c r="H46" s="92">
        <f t="shared" si="31"/>
        <v>2723918.3999999994</v>
      </c>
      <c r="I46" s="92">
        <f t="shared" si="31"/>
        <v>2445904.7999999993</v>
      </c>
      <c r="J46" s="78"/>
      <c r="K46" s="92">
        <f t="shared" ref="K46:Q46" si="32">K43-K44</f>
        <v>3733200</v>
      </c>
      <c r="L46" s="92">
        <f t="shared" si="32"/>
        <v>3173220</v>
      </c>
      <c r="M46" s="92">
        <f t="shared" si="32"/>
        <v>2697237</v>
      </c>
      <c r="N46" s="92">
        <f t="shared" si="32"/>
        <v>2292651.4500000002</v>
      </c>
      <c r="O46" s="92">
        <f t="shared" si="32"/>
        <v>1948753.7325000002</v>
      </c>
      <c r="P46" s="92">
        <f t="shared" si="32"/>
        <v>1656440.6726250001</v>
      </c>
      <c r="Q46" s="92">
        <f t="shared" si="32"/>
        <v>1407974.57173125</v>
      </c>
    </row>
    <row r="47" spans="1:17" ht="15.75" customHeight="1">
      <c r="A47" s="90"/>
      <c r="B47" s="90"/>
      <c r="C47" s="92"/>
      <c r="D47" s="92"/>
      <c r="E47" s="92"/>
      <c r="F47" s="92"/>
      <c r="G47" s="92"/>
      <c r="H47" s="92"/>
      <c r="I47" s="92"/>
      <c r="J47" s="78"/>
      <c r="K47" s="92"/>
      <c r="L47" s="92"/>
      <c r="M47" s="92"/>
      <c r="N47" s="92"/>
      <c r="O47" s="92"/>
      <c r="P47" s="92"/>
      <c r="Q47" s="92"/>
    </row>
    <row r="48" spans="1:17" ht="15.75" customHeight="1">
      <c r="A48" s="91" t="s">
        <v>183</v>
      </c>
      <c r="B48" s="91"/>
      <c r="C48" s="92"/>
      <c r="D48" s="92"/>
      <c r="E48" s="92"/>
      <c r="F48" s="92"/>
      <c r="G48" s="92"/>
      <c r="H48" s="92"/>
      <c r="I48" s="92"/>
      <c r="J48" s="78"/>
      <c r="K48" s="92"/>
      <c r="L48" s="92"/>
      <c r="M48" s="92"/>
      <c r="N48" s="92"/>
      <c r="O48" s="92"/>
      <c r="P48" s="92"/>
      <c r="Q48" s="92"/>
    </row>
    <row r="49" spans="1:17" ht="15.75" customHeight="1">
      <c r="A49" s="90" t="s">
        <v>178</v>
      </c>
      <c r="B49" s="90"/>
      <c r="C49" s="92">
        <f>'1.Project Cost and MOF'!D7</f>
        <v>550000</v>
      </c>
      <c r="D49" s="92">
        <f t="shared" ref="D49:I49" si="33">C52</f>
        <v>495000</v>
      </c>
      <c r="E49" s="92">
        <f t="shared" si="33"/>
        <v>440000</v>
      </c>
      <c r="F49" s="92">
        <f t="shared" si="33"/>
        <v>385000</v>
      </c>
      <c r="G49" s="92">
        <f t="shared" si="33"/>
        <v>330000</v>
      </c>
      <c r="H49" s="92">
        <f t="shared" si="33"/>
        <v>275000</v>
      </c>
      <c r="I49" s="92">
        <f t="shared" si="33"/>
        <v>220000</v>
      </c>
      <c r="J49" s="78"/>
      <c r="K49" s="92">
        <f>C49</f>
        <v>550000</v>
      </c>
      <c r="L49" s="92">
        <f t="shared" ref="L49:Q49" si="34">K52</f>
        <v>495000</v>
      </c>
      <c r="M49" s="92">
        <f t="shared" si="34"/>
        <v>445500</v>
      </c>
      <c r="N49" s="92">
        <f t="shared" si="34"/>
        <v>400950</v>
      </c>
      <c r="O49" s="92">
        <f t="shared" si="34"/>
        <v>360855</v>
      </c>
      <c r="P49" s="92">
        <f t="shared" si="34"/>
        <v>324769.5</v>
      </c>
      <c r="Q49" s="92">
        <f t="shared" si="34"/>
        <v>292292.55</v>
      </c>
    </row>
    <row r="50" spans="1:17" ht="15.75" customHeight="1">
      <c r="A50" s="90" t="s">
        <v>179</v>
      </c>
      <c r="B50" s="90"/>
      <c r="C50" s="92">
        <f t="shared" ref="C50:I50" si="35">$C$49*$B$75</f>
        <v>55000</v>
      </c>
      <c r="D50" s="92">
        <f t="shared" si="35"/>
        <v>55000</v>
      </c>
      <c r="E50" s="92">
        <f t="shared" si="35"/>
        <v>55000</v>
      </c>
      <c r="F50" s="92">
        <f t="shared" si="35"/>
        <v>55000</v>
      </c>
      <c r="G50" s="92">
        <f t="shared" si="35"/>
        <v>55000</v>
      </c>
      <c r="H50" s="92">
        <f t="shared" si="35"/>
        <v>55000</v>
      </c>
      <c r="I50" s="92">
        <f t="shared" si="35"/>
        <v>55000</v>
      </c>
      <c r="J50" s="78"/>
      <c r="K50" s="92">
        <f t="shared" ref="K50:Q50" si="36">K49*$C$75</f>
        <v>55000</v>
      </c>
      <c r="L50" s="92">
        <f t="shared" si="36"/>
        <v>49500</v>
      </c>
      <c r="M50" s="92">
        <f t="shared" si="36"/>
        <v>44550</v>
      </c>
      <c r="N50" s="92">
        <f t="shared" si="36"/>
        <v>40095</v>
      </c>
      <c r="O50" s="92">
        <f t="shared" si="36"/>
        <v>36085.5</v>
      </c>
      <c r="P50" s="92">
        <f t="shared" si="36"/>
        <v>32476.95</v>
      </c>
      <c r="Q50" s="92">
        <f t="shared" si="36"/>
        <v>29229.255000000001</v>
      </c>
    </row>
    <row r="51" spans="1:17" ht="15.75" customHeight="1">
      <c r="A51" s="90" t="s">
        <v>180</v>
      </c>
      <c r="B51" s="90"/>
      <c r="C51" s="92">
        <f>C50</f>
        <v>55000</v>
      </c>
      <c r="D51" s="92">
        <f t="shared" ref="D51:I51" si="37">C51+D50</f>
        <v>110000</v>
      </c>
      <c r="E51" s="92">
        <f t="shared" si="37"/>
        <v>165000</v>
      </c>
      <c r="F51" s="92">
        <f t="shared" si="37"/>
        <v>220000</v>
      </c>
      <c r="G51" s="92">
        <f t="shared" si="37"/>
        <v>275000</v>
      </c>
      <c r="H51" s="92">
        <f t="shared" si="37"/>
        <v>330000</v>
      </c>
      <c r="I51" s="92">
        <f t="shared" si="37"/>
        <v>385000</v>
      </c>
      <c r="J51" s="78"/>
      <c r="K51" s="92">
        <f>K50</f>
        <v>55000</v>
      </c>
      <c r="L51" s="92">
        <f t="shared" ref="L51:Q51" si="38">K51+L50</f>
        <v>104500</v>
      </c>
      <c r="M51" s="92">
        <f t="shared" si="38"/>
        <v>149050</v>
      </c>
      <c r="N51" s="92">
        <f t="shared" si="38"/>
        <v>189145</v>
      </c>
      <c r="O51" s="92">
        <f t="shared" si="38"/>
        <v>225230.5</v>
      </c>
      <c r="P51" s="92">
        <f t="shared" si="38"/>
        <v>257707.45</v>
      </c>
      <c r="Q51" s="92">
        <f t="shared" si="38"/>
        <v>286936.70500000002</v>
      </c>
    </row>
    <row r="52" spans="1:17" ht="15.75" customHeight="1">
      <c r="A52" s="90" t="s">
        <v>181</v>
      </c>
      <c r="B52" s="90"/>
      <c r="C52" s="92">
        <f t="shared" ref="C52:I52" si="39">C49-C50</f>
        <v>495000</v>
      </c>
      <c r="D52" s="92">
        <f t="shared" si="39"/>
        <v>440000</v>
      </c>
      <c r="E52" s="92">
        <f t="shared" si="39"/>
        <v>385000</v>
      </c>
      <c r="F52" s="92">
        <f t="shared" si="39"/>
        <v>330000</v>
      </c>
      <c r="G52" s="92">
        <f t="shared" si="39"/>
        <v>275000</v>
      </c>
      <c r="H52" s="92">
        <f t="shared" si="39"/>
        <v>220000</v>
      </c>
      <c r="I52" s="92">
        <f t="shared" si="39"/>
        <v>165000</v>
      </c>
      <c r="J52" s="78"/>
      <c r="K52" s="92">
        <f t="shared" ref="K52:Q52" si="40">K49-K50</f>
        <v>495000</v>
      </c>
      <c r="L52" s="92">
        <f t="shared" si="40"/>
        <v>445500</v>
      </c>
      <c r="M52" s="92">
        <f t="shared" si="40"/>
        <v>400950</v>
      </c>
      <c r="N52" s="92">
        <f t="shared" si="40"/>
        <v>360855</v>
      </c>
      <c r="O52" s="92">
        <f t="shared" si="40"/>
        <v>324769.5</v>
      </c>
      <c r="P52" s="92">
        <f t="shared" si="40"/>
        <v>292292.55</v>
      </c>
      <c r="Q52" s="92">
        <f t="shared" si="40"/>
        <v>263063.29499999998</v>
      </c>
    </row>
    <row r="53" spans="1:17" ht="15.75" customHeight="1">
      <c r="A53" s="90"/>
      <c r="B53" s="90"/>
      <c r="C53" s="92"/>
      <c r="D53" s="92"/>
      <c r="E53" s="92"/>
      <c r="F53" s="92"/>
      <c r="G53" s="92"/>
      <c r="H53" s="92"/>
      <c r="I53" s="92"/>
      <c r="J53" s="78"/>
      <c r="K53" s="92"/>
      <c r="L53" s="92"/>
      <c r="M53" s="92"/>
      <c r="N53" s="92"/>
      <c r="O53" s="92"/>
      <c r="P53" s="92"/>
      <c r="Q53" s="92"/>
    </row>
    <row r="54" spans="1:17" ht="15.75" customHeight="1">
      <c r="A54" s="91" t="s">
        <v>184</v>
      </c>
      <c r="B54" s="91"/>
      <c r="C54" s="92"/>
      <c r="D54" s="92"/>
      <c r="E54" s="92"/>
      <c r="F54" s="92"/>
      <c r="G54" s="92"/>
      <c r="H54" s="92"/>
      <c r="I54" s="92"/>
      <c r="J54" s="78"/>
      <c r="K54" s="92"/>
      <c r="L54" s="92"/>
      <c r="M54" s="92"/>
      <c r="N54" s="92"/>
      <c r="O54" s="92"/>
      <c r="P54" s="92"/>
      <c r="Q54" s="92"/>
    </row>
    <row r="55" spans="1:17" ht="15.75" customHeight="1">
      <c r="A55" s="90" t="s">
        <v>178</v>
      </c>
      <c r="B55" s="90"/>
      <c r="C55" s="92">
        <f>'1.Project Cost and MOF'!D9</f>
        <v>0</v>
      </c>
      <c r="D55" s="92">
        <f t="shared" ref="D55:I55" si="41">C58</f>
        <v>0</v>
      </c>
      <c r="E55" s="92">
        <f t="shared" si="41"/>
        <v>0</v>
      </c>
      <c r="F55" s="92">
        <f t="shared" si="41"/>
        <v>0</v>
      </c>
      <c r="G55" s="92">
        <f t="shared" si="41"/>
        <v>0</v>
      </c>
      <c r="H55" s="92">
        <f t="shared" si="41"/>
        <v>0</v>
      </c>
      <c r="I55" s="92">
        <f t="shared" si="41"/>
        <v>0</v>
      </c>
      <c r="J55" s="78"/>
      <c r="K55" s="92">
        <f>C55</f>
        <v>0</v>
      </c>
      <c r="L55" s="92">
        <f t="shared" ref="L55:Q55" si="42">K58</f>
        <v>0</v>
      </c>
      <c r="M55" s="92">
        <f t="shared" si="42"/>
        <v>0</v>
      </c>
      <c r="N55" s="92">
        <f t="shared" si="42"/>
        <v>0</v>
      </c>
      <c r="O55" s="92">
        <f t="shared" si="42"/>
        <v>0</v>
      </c>
      <c r="P55" s="92">
        <f t="shared" si="42"/>
        <v>0</v>
      </c>
      <c r="Q55" s="92">
        <f t="shared" si="42"/>
        <v>0</v>
      </c>
    </row>
    <row r="56" spans="1:17" ht="15.75" customHeight="1">
      <c r="A56" s="90" t="s">
        <v>179</v>
      </c>
      <c r="B56" s="90"/>
      <c r="C56" s="92">
        <f t="shared" ref="C56:I56" si="43">$C$55*$B$77</f>
        <v>0</v>
      </c>
      <c r="D56" s="92">
        <f t="shared" si="43"/>
        <v>0</v>
      </c>
      <c r="E56" s="92">
        <f t="shared" si="43"/>
        <v>0</v>
      </c>
      <c r="F56" s="92">
        <f t="shared" si="43"/>
        <v>0</v>
      </c>
      <c r="G56" s="92">
        <f t="shared" si="43"/>
        <v>0</v>
      </c>
      <c r="H56" s="92">
        <f t="shared" si="43"/>
        <v>0</v>
      </c>
      <c r="I56" s="92">
        <f t="shared" si="43"/>
        <v>0</v>
      </c>
      <c r="J56" s="78"/>
      <c r="K56" s="92">
        <f t="shared" ref="K56:Q56" si="44">K55*$C$77</f>
        <v>0</v>
      </c>
      <c r="L56" s="92">
        <f t="shared" si="44"/>
        <v>0</v>
      </c>
      <c r="M56" s="92">
        <f t="shared" si="44"/>
        <v>0</v>
      </c>
      <c r="N56" s="92">
        <f t="shared" si="44"/>
        <v>0</v>
      </c>
      <c r="O56" s="92">
        <f t="shared" si="44"/>
        <v>0</v>
      </c>
      <c r="P56" s="92">
        <f t="shared" si="44"/>
        <v>0</v>
      </c>
      <c r="Q56" s="92">
        <f t="shared" si="44"/>
        <v>0</v>
      </c>
    </row>
    <row r="57" spans="1:17" ht="15.75" customHeight="1">
      <c r="A57" s="90" t="s">
        <v>180</v>
      </c>
      <c r="B57" s="90"/>
      <c r="C57" s="92">
        <f>C56</f>
        <v>0</v>
      </c>
      <c r="D57" s="92">
        <f t="shared" ref="D57:I57" si="45">C57+D56</f>
        <v>0</v>
      </c>
      <c r="E57" s="92">
        <f t="shared" si="45"/>
        <v>0</v>
      </c>
      <c r="F57" s="92">
        <f t="shared" si="45"/>
        <v>0</v>
      </c>
      <c r="G57" s="92">
        <f t="shared" si="45"/>
        <v>0</v>
      </c>
      <c r="H57" s="92">
        <f t="shared" si="45"/>
        <v>0</v>
      </c>
      <c r="I57" s="92">
        <f t="shared" si="45"/>
        <v>0</v>
      </c>
      <c r="J57" s="78"/>
      <c r="K57" s="92">
        <f>K56</f>
        <v>0</v>
      </c>
      <c r="L57" s="92">
        <f t="shared" ref="L57:Q57" si="46">K57+L56</f>
        <v>0</v>
      </c>
      <c r="M57" s="92">
        <f t="shared" si="46"/>
        <v>0</v>
      </c>
      <c r="N57" s="92">
        <f t="shared" si="46"/>
        <v>0</v>
      </c>
      <c r="O57" s="92">
        <f t="shared" si="46"/>
        <v>0</v>
      </c>
      <c r="P57" s="92">
        <f t="shared" si="46"/>
        <v>0</v>
      </c>
      <c r="Q57" s="92">
        <f t="shared" si="46"/>
        <v>0</v>
      </c>
    </row>
    <row r="58" spans="1:17" ht="15.75" customHeight="1">
      <c r="A58" s="90" t="s">
        <v>181</v>
      </c>
      <c r="B58" s="90"/>
      <c r="C58" s="92">
        <f t="shared" ref="C58:I58" si="47">C55-C56</f>
        <v>0</v>
      </c>
      <c r="D58" s="92">
        <f t="shared" si="47"/>
        <v>0</v>
      </c>
      <c r="E58" s="92">
        <f t="shared" si="47"/>
        <v>0</v>
      </c>
      <c r="F58" s="92">
        <f t="shared" si="47"/>
        <v>0</v>
      </c>
      <c r="G58" s="92">
        <f t="shared" si="47"/>
        <v>0</v>
      </c>
      <c r="H58" s="92">
        <f t="shared" si="47"/>
        <v>0</v>
      </c>
      <c r="I58" s="92">
        <f t="shared" si="47"/>
        <v>0</v>
      </c>
      <c r="J58" s="78"/>
      <c r="K58" s="92">
        <f t="shared" ref="K58:Q58" si="48">K55-K56</f>
        <v>0</v>
      </c>
      <c r="L58" s="92">
        <f t="shared" si="48"/>
        <v>0</v>
      </c>
      <c r="M58" s="92">
        <f t="shared" si="48"/>
        <v>0</v>
      </c>
      <c r="N58" s="92">
        <f t="shared" si="48"/>
        <v>0</v>
      </c>
      <c r="O58" s="92">
        <f t="shared" si="48"/>
        <v>0</v>
      </c>
      <c r="P58" s="92">
        <f t="shared" si="48"/>
        <v>0</v>
      </c>
      <c r="Q58" s="92">
        <f t="shared" si="48"/>
        <v>0</v>
      </c>
    </row>
    <row r="59" spans="1:17" ht="15.75" customHeight="1">
      <c r="A59" s="90"/>
      <c r="B59" s="90"/>
      <c r="C59" s="92"/>
      <c r="D59" s="92"/>
      <c r="E59" s="92"/>
      <c r="F59" s="92"/>
      <c r="G59" s="92"/>
      <c r="H59" s="92"/>
      <c r="I59" s="92"/>
      <c r="J59" s="78"/>
      <c r="K59" s="92"/>
      <c r="L59" s="92"/>
      <c r="M59" s="92"/>
      <c r="N59" s="92"/>
      <c r="O59" s="92"/>
      <c r="P59" s="92"/>
      <c r="Q59" s="92"/>
    </row>
    <row r="60" spans="1:17" ht="15.75" customHeight="1">
      <c r="A60" s="91" t="s">
        <v>185</v>
      </c>
      <c r="B60" s="90"/>
      <c r="C60" s="92"/>
      <c r="D60" s="92"/>
      <c r="E60" s="92"/>
      <c r="F60" s="92"/>
      <c r="G60" s="92"/>
      <c r="H60" s="92"/>
      <c r="I60" s="92"/>
      <c r="J60" s="78"/>
      <c r="K60" s="92"/>
      <c r="L60" s="92"/>
      <c r="M60" s="92"/>
      <c r="N60" s="92"/>
      <c r="O60" s="92"/>
      <c r="P60" s="92"/>
      <c r="Q60" s="92"/>
    </row>
    <row r="61" spans="1:17" ht="15.75" customHeight="1">
      <c r="A61" s="90" t="str">
        <f t="shared" ref="A61:A64" si="49">A55</f>
        <v>Asset Value</v>
      </c>
      <c r="B61" s="90"/>
      <c r="C61" s="92">
        <f>'1.Project Cost and MOF'!D8</f>
        <v>150000</v>
      </c>
      <c r="D61" s="92">
        <f t="shared" ref="D61:I61" si="50">C64</f>
        <v>135000</v>
      </c>
      <c r="E61" s="92">
        <f t="shared" si="50"/>
        <v>120000</v>
      </c>
      <c r="F61" s="92">
        <f t="shared" si="50"/>
        <v>105000</v>
      </c>
      <c r="G61" s="92">
        <f t="shared" si="50"/>
        <v>90000</v>
      </c>
      <c r="H61" s="92">
        <f t="shared" si="50"/>
        <v>75000</v>
      </c>
      <c r="I61" s="92">
        <f t="shared" si="50"/>
        <v>60000</v>
      </c>
      <c r="J61" s="78"/>
      <c r="K61" s="92">
        <f>C61</f>
        <v>150000</v>
      </c>
      <c r="L61" s="92">
        <f t="shared" ref="L61:Q61" si="51">K64</f>
        <v>90000</v>
      </c>
      <c r="M61" s="92">
        <f t="shared" si="51"/>
        <v>54000</v>
      </c>
      <c r="N61" s="92">
        <f t="shared" si="51"/>
        <v>32400</v>
      </c>
      <c r="O61" s="92">
        <f t="shared" si="51"/>
        <v>19440</v>
      </c>
      <c r="P61" s="92">
        <f t="shared" si="51"/>
        <v>11664</v>
      </c>
      <c r="Q61" s="92">
        <f t="shared" si="51"/>
        <v>6998.4</v>
      </c>
    </row>
    <row r="62" spans="1:17" ht="15.75" customHeight="1">
      <c r="A62" s="90" t="str">
        <f t="shared" si="49"/>
        <v>Depreciation</v>
      </c>
      <c r="B62" s="90"/>
      <c r="C62" s="92">
        <f t="shared" ref="C62:I62" si="52">$C$61*$B$76</f>
        <v>15000</v>
      </c>
      <c r="D62" s="92">
        <f t="shared" si="52"/>
        <v>15000</v>
      </c>
      <c r="E62" s="92">
        <f t="shared" si="52"/>
        <v>15000</v>
      </c>
      <c r="F62" s="92">
        <f t="shared" si="52"/>
        <v>15000</v>
      </c>
      <c r="G62" s="92">
        <f t="shared" si="52"/>
        <v>15000</v>
      </c>
      <c r="H62" s="92">
        <f t="shared" si="52"/>
        <v>15000</v>
      </c>
      <c r="I62" s="92">
        <f t="shared" si="52"/>
        <v>15000</v>
      </c>
      <c r="J62" s="78"/>
      <c r="K62" s="92">
        <f t="shared" ref="K62:Q62" si="53">K61*$C$76</f>
        <v>60000</v>
      </c>
      <c r="L62" s="92">
        <f t="shared" si="53"/>
        <v>36000</v>
      </c>
      <c r="M62" s="92">
        <f t="shared" si="53"/>
        <v>21600</v>
      </c>
      <c r="N62" s="92">
        <f t="shared" si="53"/>
        <v>12960</v>
      </c>
      <c r="O62" s="92">
        <f t="shared" si="53"/>
        <v>7776</v>
      </c>
      <c r="P62" s="92">
        <f t="shared" si="53"/>
        <v>4665.6000000000004</v>
      </c>
      <c r="Q62" s="92">
        <f t="shared" si="53"/>
        <v>2799.36</v>
      </c>
    </row>
    <row r="63" spans="1:17" ht="15.75" customHeight="1">
      <c r="A63" s="90" t="str">
        <f t="shared" si="49"/>
        <v>Accumulated Depreciation</v>
      </c>
      <c r="B63" s="90"/>
      <c r="C63" s="92">
        <f>C62</f>
        <v>15000</v>
      </c>
      <c r="D63" s="92">
        <f t="shared" ref="D63:I63" si="54">D62+C63</f>
        <v>30000</v>
      </c>
      <c r="E63" s="92">
        <f t="shared" si="54"/>
        <v>45000</v>
      </c>
      <c r="F63" s="92">
        <f t="shared" si="54"/>
        <v>60000</v>
      </c>
      <c r="G63" s="92">
        <f t="shared" si="54"/>
        <v>75000</v>
      </c>
      <c r="H63" s="92">
        <f t="shared" si="54"/>
        <v>90000</v>
      </c>
      <c r="I63" s="92">
        <f t="shared" si="54"/>
        <v>105000</v>
      </c>
      <c r="J63" s="78"/>
      <c r="K63" s="92">
        <f>K62</f>
        <v>60000</v>
      </c>
      <c r="L63" s="92">
        <f t="shared" ref="L63:Q63" si="55">L62+K63</f>
        <v>96000</v>
      </c>
      <c r="M63" s="92">
        <f t="shared" si="55"/>
        <v>117600</v>
      </c>
      <c r="N63" s="92">
        <f t="shared" si="55"/>
        <v>130560</v>
      </c>
      <c r="O63" s="92">
        <f t="shared" si="55"/>
        <v>138336</v>
      </c>
      <c r="P63" s="92">
        <f t="shared" si="55"/>
        <v>143001.60000000001</v>
      </c>
      <c r="Q63" s="92">
        <f t="shared" si="55"/>
        <v>145800.95999999999</v>
      </c>
    </row>
    <row r="64" spans="1:17" ht="15.75" customHeight="1">
      <c r="A64" s="90" t="str">
        <f t="shared" si="49"/>
        <v>Net Fixed Assets</v>
      </c>
      <c r="B64" s="90"/>
      <c r="C64" s="92">
        <f t="shared" ref="C64:I64" si="56">C61-C62</f>
        <v>135000</v>
      </c>
      <c r="D64" s="92">
        <f t="shared" si="56"/>
        <v>120000</v>
      </c>
      <c r="E64" s="92">
        <f t="shared" si="56"/>
        <v>105000</v>
      </c>
      <c r="F64" s="92">
        <f t="shared" si="56"/>
        <v>90000</v>
      </c>
      <c r="G64" s="92">
        <f t="shared" si="56"/>
        <v>75000</v>
      </c>
      <c r="H64" s="92">
        <f t="shared" si="56"/>
        <v>60000</v>
      </c>
      <c r="I64" s="92">
        <f t="shared" si="56"/>
        <v>45000</v>
      </c>
      <c r="J64" s="78"/>
      <c r="K64" s="92">
        <f t="shared" ref="K64:Q64" si="57">K61-K62</f>
        <v>90000</v>
      </c>
      <c r="L64" s="92">
        <f t="shared" si="57"/>
        <v>54000</v>
      </c>
      <c r="M64" s="92">
        <f t="shared" si="57"/>
        <v>32400</v>
      </c>
      <c r="N64" s="92">
        <f t="shared" si="57"/>
        <v>19440</v>
      </c>
      <c r="O64" s="92">
        <f t="shared" si="57"/>
        <v>11664</v>
      </c>
      <c r="P64" s="92">
        <f t="shared" si="57"/>
        <v>6998.4</v>
      </c>
      <c r="Q64" s="92">
        <f t="shared" si="57"/>
        <v>4199.0399999999991</v>
      </c>
    </row>
    <row r="65" spans="1:17" ht="15.75" customHeight="1">
      <c r="A65" s="91" t="s">
        <v>186</v>
      </c>
      <c r="B65" s="91"/>
      <c r="C65" s="93">
        <f t="shared" ref="C65:I65" si="58">C49+C43+C37+C55+C61</f>
        <v>9424495</v>
      </c>
      <c r="D65" s="93">
        <f t="shared" si="58"/>
        <v>8939141.3084999993</v>
      </c>
      <c r="E65" s="93">
        <f t="shared" si="58"/>
        <v>8453787.6169999987</v>
      </c>
      <c r="F65" s="93">
        <f t="shared" si="58"/>
        <v>7968433.9254999999</v>
      </c>
      <c r="G65" s="93">
        <f t="shared" si="58"/>
        <v>7483080.2339999992</v>
      </c>
      <c r="H65" s="93">
        <f t="shared" si="58"/>
        <v>6997726.5424999986</v>
      </c>
      <c r="I65" s="93">
        <f t="shared" si="58"/>
        <v>6512372.8509999989</v>
      </c>
      <c r="J65" s="78"/>
      <c r="K65" s="93">
        <f t="shared" ref="K65:Q65" si="59">K49+K43+K37+K55+K61</f>
        <v>9424495</v>
      </c>
      <c r="L65" s="93">
        <f t="shared" si="59"/>
        <v>8217445.5</v>
      </c>
      <c r="M65" s="93">
        <f t="shared" si="59"/>
        <v>7182040.9500000002</v>
      </c>
      <c r="N65" s="93">
        <f t="shared" si="59"/>
        <v>6288975.8550000004</v>
      </c>
      <c r="O65" s="93">
        <f t="shared" si="59"/>
        <v>5515496.4195000008</v>
      </c>
      <c r="P65" s="93">
        <f t="shared" si="59"/>
        <v>4843482.20505</v>
      </c>
      <c r="Q65" s="93">
        <f t="shared" si="59"/>
        <v>4258197.0979200006</v>
      </c>
    </row>
    <row r="66" spans="1:17" ht="15.75" customHeight="1">
      <c r="A66" s="91" t="s">
        <v>187</v>
      </c>
      <c r="B66" s="91"/>
      <c r="C66" s="93">
        <f t="shared" ref="C66:I66" si="60">C50+C44+C38+C56+C62</f>
        <v>485353.69149999996</v>
      </c>
      <c r="D66" s="93">
        <f t="shared" si="60"/>
        <v>485353.69149999996</v>
      </c>
      <c r="E66" s="93">
        <f t="shared" si="60"/>
        <v>485353.69149999996</v>
      </c>
      <c r="F66" s="93">
        <f t="shared" si="60"/>
        <v>485353.69149999996</v>
      </c>
      <c r="G66" s="93">
        <f t="shared" si="60"/>
        <v>485353.69149999996</v>
      </c>
      <c r="H66" s="93">
        <f t="shared" si="60"/>
        <v>485353.69149999996</v>
      </c>
      <c r="I66" s="93">
        <f t="shared" si="60"/>
        <v>485353.69149999996</v>
      </c>
      <c r="J66" s="78"/>
      <c r="K66" s="93">
        <f t="shared" ref="K66:Q66" si="61">K50+K44+K38+K56+K62</f>
        <v>1207049.5</v>
      </c>
      <c r="L66" s="93">
        <f t="shared" si="61"/>
        <v>1035404.55</v>
      </c>
      <c r="M66" s="93">
        <f t="shared" si="61"/>
        <v>893065.09499999997</v>
      </c>
      <c r="N66" s="93">
        <f t="shared" si="61"/>
        <v>773479.43550000002</v>
      </c>
      <c r="O66" s="93">
        <f t="shared" si="61"/>
        <v>672014.21445000009</v>
      </c>
      <c r="P66" s="93">
        <f t="shared" si="61"/>
        <v>585285.10713000002</v>
      </c>
      <c r="Q66" s="93">
        <f t="shared" si="61"/>
        <v>510741.26342325</v>
      </c>
    </row>
    <row r="67" spans="1:17" ht="15.75" customHeight="1">
      <c r="A67" s="91" t="s">
        <v>188</v>
      </c>
      <c r="B67" s="91"/>
      <c r="C67" s="93">
        <f t="shared" ref="C67:I67" si="62">C51+C45+C39+C57+C63</f>
        <v>485353.69149999996</v>
      </c>
      <c r="D67" s="93">
        <f t="shared" si="62"/>
        <v>970707.38299999991</v>
      </c>
      <c r="E67" s="93">
        <f t="shared" si="62"/>
        <v>1456061.0745000001</v>
      </c>
      <c r="F67" s="93">
        <f t="shared" si="62"/>
        <v>1941414.7659999998</v>
      </c>
      <c r="G67" s="93">
        <f t="shared" si="62"/>
        <v>2426768.4575</v>
      </c>
      <c r="H67" s="93">
        <f t="shared" si="62"/>
        <v>2912122.1490000002</v>
      </c>
      <c r="I67" s="93">
        <f t="shared" si="62"/>
        <v>3397475.8404999999</v>
      </c>
      <c r="J67" s="78"/>
      <c r="K67" s="93">
        <f t="shared" ref="K67:Q67" si="63">K51+K45+K39+K57+K63</f>
        <v>1207049.5</v>
      </c>
      <c r="L67" s="93">
        <f t="shared" si="63"/>
        <v>2242454.0499999998</v>
      </c>
      <c r="M67" s="93">
        <f t="shared" si="63"/>
        <v>3135519.145</v>
      </c>
      <c r="N67" s="93">
        <f t="shared" si="63"/>
        <v>3908998.5805000002</v>
      </c>
      <c r="O67" s="93">
        <f t="shared" si="63"/>
        <v>4581012.79495</v>
      </c>
      <c r="P67" s="93">
        <f t="shared" si="63"/>
        <v>5166297.9020800004</v>
      </c>
      <c r="Q67" s="93">
        <f t="shared" si="63"/>
        <v>5677039.1655032504</v>
      </c>
    </row>
    <row r="68" spans="1:17" ht="15.75" customHeight="1">
      <c r="A68" s="91" t="s">
        <v>181</v>
      </c>
      <c r="B68" s="91"/>
      <c r="C68" s="93">
        <f t="shared" ref="C68:I68" si="64">C52+C46+C40+C58+C64</f>
        <v>8939141.3084999993</v>
      </c>
      <c r="D68" s="93">
        <f t="shared" si="64"/>
        <v>8453787.6169999987</v>
      </c>
      <c r="E68" s="93">
        <f t="shared" si="64"/>
        <v>7968433.9254999999</v>
      </c>
      <c r="F68" s="93">
        <f t="shared" si="64"/>
        <v>7483080.2339999992</v>
      </c>
      <c r="G68" s="93">
        <f t="shared" si="64"/>
        <v>6997726.5424999986</v>
      </c>
      <c r="H68" s="93">
        <f t="shared" si="64"/>
        <v>6512372.8509999989</v>
      </c>
      <c r="I68" s="93">
        <f t="shared" si="64"/>
        <v>6027019.1594999991</v>
      </c>
      <c r="J68" s="78"/>
      <c r="K68" s="93">
        <f t="shared" ref="K68:Q68" si="65">K52+K46+K40+K58+K64</f>
        <v>8217445.5</v>
      </c>
      <c r="L68" s="93">
        <f t="shared" si="65"/>
        <v>7182040.9500000002</v>
      </c>
      <c r="M68" s="93">
        <f t="shared" si="65"/>
        <v>6288975.8550000004</v>
      </c>
      <c r="N68" s="93">
        <f t="shared" si="65"/>
        <v>5515496.4195000008</v>
      </c>
      <c r="O68" s="93">
        <f t="shared" si="65"/>
        <v>4843482.20505</v>
      </c>
      <c r="P68" s="93">
        <f t="shared" si="65"/>
        <v>4258197.0979200006</v>
      </c>
      <c r="Q68" s="93">
        <f t="shared" si="65"/>
        <v>3747455.8344967505</v>
      </c>
    </row>
    <row r="69" spans="1:17" ht="15.75" customHeight="1">
      <c r="A69" s="94"/>
      <c r="B69" s="94"/>
      <c r="C69" s="95"/>
      <c r="D69" s="95"/>
      <c r="E69" s="95"/>
      <c r="F69" s="95"/>
      <c r="G69" s="95"/>
      <c r="H69" s="95"/>
      <c r="I69" s="95"/>
      <c r="J69" s="73"/>
    </row>
    <row r="70" spans="1:17" ht="15.75" customHeight="1">
      <c r="A70" s="73"/>
      <c r="B70" s="73"/>
      <c r="C70" s="73"/>
      <c r="D70" s="73"/>
      <c r="E70" s="73"/>
      <c r="F70" s="73"/>
      <c r="G70" s="73"/>
      <c r="H70" s="73"/>
      <c r="I70" s="73"/>
      <c r="J70" s="73"/>
    </row>
    <row r="71" spans="1:17" ht="15.75" customHeight="1">
      <c r="A71" s="96" t="s">
        <v>189</v>
      </c>
      <c r="B71" s="97" t="s">
        <v>190</v>
      </c>
      <c r="C71" s="98" t="s">
        <v>191</v>
      </c>
      <c r="D71" s="73"/>
      <c r="E71" s="73"/>
      <c r="F71" s="73"/>
      <c r="G71" s="73"/>
      <c r="H71" s="73"/>
      <c r="I71" s="73"/>
      <c r="J71" s="73"/>
    </row>
    <row r="72" spans="1:17" ht="15.75" customHeight="1">
      <c r="A72" s="99" t="s">
        <v>192</v>
      </c>
      <c r="B72" s="97" t="s">
        <v>193</v>
      </c>
      <c r="C72" s="98" t="s">
        <v>194</v>
      </c>
      <c r="D72" s="73"/>
      <c r="E72" s="73"/>
      <c r="F72" s="73"/>
      <c r="G72" s="73"/>
      <c r="H72" s="73"/>
      <c r="I72" s="73"/>
      <c r="J72" s="73"/>
    </row>
    <row r="73" spans="1:17" ht="15.75" customHeight="1">
      <c r="A73" s="99" t="s">
        <v>124</v>
      </c>
      <c r="B73" s="75">
        <v>0</v>
      </c>
      <c r="C73" s="75">
        <v>0</v>
      </c>
      <c r="D73" s="73"/>
      <c r="E73" s="73"/>
      <c r="F73" s="73"/>
      <c r="G73" s="73"/>
      <c r="H73" s="73"/>
      <c r="I73" s="73"/>
      <c r="J73" s="73"/>
    </row>
    <row r="74" spans="1:17" ht="15.75" customHeight="1">
      <c r="A74" s="100" t="s">
        <v>177</v>
      </c>
      <c r="B74" s="75">
        <v>3.1699999999999999E-2</v>
      </c>
      <c r="C74" s="75">
        <v>0.1</v>
      </c>
      <c r="D74" s="74"/>
      <c r="E74" s="73"/>
      <c r="F74" s="73"/>
      <c r="G74" s="73"/>
      <c r="H74" s="73"/>
      <c r="I74" s="73"/>
      <c r="J74" s="73"/>
    </row>
    <row r="75" spans="1:17" ht="15.75" customHeight="1">
      <c r="A75" s="100" t="s">
        <v>183</v>
      </c>
      <c r="B75" s="75">
        <v>0.1</v>
      </c>
      <c r="C75" s="75">
        <v>0.1</v>
      </c>
      <c r="D75" s="73"/>
      <c r="E75" s="73"/>
      <c r="F75" s="73"/>
      <c r="G75" s="73"/>
      <c r="H75" s="73"/>
      <c r="I75" s="73"/>
      <c r="J75" s="73"/>
    </row>
    <row r="76" spans="1:17" ht="15.75" customHeight="1">
      <c r="A76" s="73" t="s">
        <v>195</v>
      </c>
      <c r="B76" s="75">
        <v>0.1</v>
      </c>
      <c r="C76" s="75">
        <v>0.4</v>
      </c>
      <c r="D76" s="73"/>
      <c r="E76" s="73"/>
      <c r="F76" s="73"/>
      <c r="G76" s="73"/>
      <c r="H76" s="73"/>
      <c r="I76" s="73"/>
      <c r="J76" s="73"/>
    </row>
    <row r="77" spans="1:17" ht="15.75" customHeight="1">
      <c r="A77" s="73" t="s">
        <v>196</v>
      </c>
      <c r="B77" s="75">
        <v>0.1188</v>
      </c>
      <c r="C77" s="75">
        <v>0.15</v>
      </c>
      <c r="D77" s="73"/>
      <c r="E77" s="73"/>
      <c r="F77" s="73"/>
      <c r="G77" s="73"/>
      <c r="H77" s="73"/>
      <c r="I77" s="73"/>
      <c r="J77" s="73"/>
    </row>
    <row r="78" spans="1:17" ht="15.75" customHeight="1">
      <c r="A78" s="100" t="s">
        <v>197</v>
      </c>
      <c r="B78" s="75">
        <v>6.3299999999999995E-2</v>
      </c>
      <c r="C78" s="75">
        <v>0.15</v>
      </c>
      <c r="D78" s="73"/>
      <c r="E78" s="73"/>
      <c r="F78" s="73"/>
      <c r="G78" s="73"/>
      <c r="H78" s="73"/>
      <c r="I78" s="73"/>
      <c r="J78" s="73"/>
    </row>
    <row r="79" spans="1:17" ht="15.75" customHeight="1">
      <c r="A79" s="99" t="s">
        <v>189</v>
      </c>
      <c r="B79" s="75"/>
      <c r="C79" s="74"/>
      <c r="D79" s="73"/>
      <c r="E79" s="73"/>
      <c r="F79" s="73"/>
      <c r="G79" s="73"/>
      <c r="H79" s="73"/>
      <c r="I79" s="73"/>
      <c r="J79" s="73"/>
    </row>
    <row r="80" spans="1:17" ht="15.75" customHeight="1">
      <c r="A80" s="100" t="s">
        <v>198</v>
      </c>
      <c r="B80" s="74">
        <v>0.2</v>
      </c>
      <c r="C80" s="74">
        <v>0.2</v>
      </c>
      <c r="D80" s="73"/>
      <c r="E80" s="73"/>
      <c r="F80" s="73"/>
      <c r="G80" s="73"/>
      <c r="H80" s="73"/>
      <c r="I80" s="73"/>
      <c r="J80" s="73"/>
    </row>
    <row r="81" spans="1:17" ht="15.75" customHeight="1">
      <c r="A81" s="73"/>
      <c r="B81" s="73"/>
      <c r="C81" s="73"/>
      <c r="D81" s="73"/>
      <c r="E81" s="73"/>
      <c r="F81" s="73"/>
      <c r="G81" s="73"/>
      <c r="H81" s="73"/>
      <c r="I81" s="73"/>
      <c r="J81" s="73"/>
    </row>
    <row r="82" spans="1:17" ht="15.75" customHeight="1">
      <c r="A82" s="73"/>
      <c r="B82" s="73"/>
      <c r="C82" s="73"/>
      <c r="D82" s="73"/>
      <c r="E82" s="74"/>
      <c r="F82" s="73"/>
      <c r="G82" s="73"/>
      <c r="H82" s="73"/>
      <c r="I82" s="73"/>
      <c r="J82" s="73"/>
    </row>
    <row r="83" spans="1:17" ht="15.75" customHeight="1">
      <c r="A83" s="394" t="s">
        <v>199</v>
      </c>
      <c r="B83" s="378"/>
      <c r="C83" s="378"/>
      <c r="D83" s="378"/>
      <c r="E83" s="378"/>
      <c r="F83" s="378"/>
      <c r="G83" s="378"/>
      <c r="H83" s="378"/>
      <c r="I83" s="378"/>
      <c r="J83" s="378"/>
      <c r="K83" s="101"/>
      <c r="L83" s="101"/>
      <c r="M83" s="101"/>
      <c r="N83" s="101"/>
      <c r="O83" s="101"/>
      <c r="P83" s="101"/>
      <c r="Q83" s="101"/>
    </row>
    <row r="84" spans="1:17" ht="15.75" customHeight="1">
      <c r="A84" s="102"/>
      <c r="B84" s="102"/>
      <c r="C84" s="101"/>
      <c r="D84" s="101"/>
      <c r="E84" s="101"/>
      <c r="F84" s="101"/>
      <c r="G84" s="101"/>
      <c r="H84" s="101"/>
      <c r="I84" s="101"/>
      <c r="J84" s="101"/>
      <c r="K84" s="101"/>
      <c r="L84" s="101"/>
      <c r="M84" s="101"/>
      <c r="N84" s="101"/>
      <c r="O84" s="101"/>
      <c r="P84" s="101"/>
      <c r="Q84" s="101"/>
    </row>
    <row r="85" spans="1:17" ht="15.75" customHeight="1">
      <c r="A85" s="103" t="s">
        <v>150</v>
      </c>
      <c r="B85" s="104" t="s">
        <v>200</v>
      </c>
      <c r="C85" s="105" t="s">
        <v>153</v>
      </c>
      <c r="D85" s="105" t="s">
        <v>154</v>
      </c>
      <c r="E85" s="105" t="s">
        <v>155</v>
      </c>
      <c r="F85" s="105" t="s">
        <v>156</v>
      </c>
      <c r="G85" s="105" t="s">
        <v>157</v>
      </c>
      <c r="H85" s="105" t="s">
        <v>158</v>
      </c>
      <c r="I85" s="105" t="s">
        <v>159</v>
      </c>
      <c r="J85" s="106"/>
      <c r="K85" s="106"/>
      <c r="L85" s="106"/>
      <c r="M85" s="101"/>
      <c r="N85" s="101"/>
      <c r="O85" s="101"/>
      <c r="P85" s="101"/>
      <c r="Q85" s="101"/>
    </row>
    <row r="86" spans="1:17" ht="15.75" customHeight="1">
      <c r="A86" s="107" t="s">
        <v>146</v>
      </c>
      <c r="B86" s="108">
        <v>5</v>
      </c>
      <c r="C86" s="92">
        <f>'1.Project Cost and MOF'!$D$10/5</f>
        <v>20000</v>
      </c>
      <c r="D86" s="92">
        <f>'1.Project Cost and MOF'!$D$10/5</f>
        <v>20000</v>
      </c>
      <c r="E86" s="92">
        <f>'1.Project Cost and MOF'!$D$10/5</f>
        <v>20000</v>
      </c>
      <c r="F86" s="92">
        <f>'1.Project Cost and MOF'!$D$10/5</f>
        <v>20000</v>
      </c>
      <c r="G86" s="92">
        <f>'1.Project Cost and MOF'!$D$10/5</f>
        <v>20000</v>
      </c>
      <c r="H86" s="92">
        <v>0</v>
      </c>
      <c r="I86" s="92">
        <v>0</v>
      </c>
      <c r="J86" s="106"/>
      <c r="K86" s="106"/>
      <c r="L86" s="106"/>
      <c r="M86" s="101"/>
      <c r="N86" s="101"/>
      <c r="O86" s="101"/>
      <c r="P86" s="101"/>
      <c r="Q86" s="101"/>
    </row>
    <row r="87" spans="1:17" ht="15.75" customHeight="1">
      <c r="A87" s="109" t="s">
        <v>201</v>
      </c>
      <c r="B87" s="110"/>
      <c r="C87" s="93">
        <f t="shared" ref="C87:I87" si="66">SUM(C85:C86)</f>
        <v>20000</v>
      </c>
      <c r="D87" s="93">
        <f t="shared" si="66"/>
        <v>20000</v>
      </c>
      <c r="E87" s="93">
        <f t="shared" si="66"/>
        <v>20000</v>
      </c>
      <c r="F87" s="93">
        <f t="shared" si="66"/>
        <v>20000</v>
      </c>
      <c r="G87" s="93">
        <f t="shared" si="66"/>
        <v>20000</v>
      </c>
      <c r="H87" s="93">
        <f t="shared" si="66"/>
        <v>0</v>
      </c>
      <c r="I87" s="93">
        <f t="shared" si="66"/>
        <v>0</v>
      </c>
      <c r="J87" s="111"/>
      <c r="K87" s="111"/>
      <c r="L87" s="111"/>
      <c r="M87" s="101"/>
      <c r="N87" s="101"/>
      <c r="O87" s="101"/>
      <c r="P87" s="101"/>
      <c r="Q87" s="101"/>
    </row>
    <row r="88" spans="1:17" ht="15.75" customHeight="1">
      <c r="A88" s="101"/>
      <c r="B88" s="101"/>
      <c r="C88" s="106"/>
      <c r="D88" s="106"/>
      <c r="E88" s="106"/>
      <c r="F88" s="106"/>
      <c r="G88" s="106"/>
      <c r="H88" s="106"/>
      <c r="I88" s="106"/>
      <c r="J88" s="106"/>
      <c r="K88" s="106"/>
      <c r="L88" s="106"/>
      <c r="M88" s="101"/>
      <c r="N88" s="101"/>
      <c r="O88" s="101"/>
      <c r="P88" s="101"/>
      <c r="Q88" s="101"/>
    </row>
    <row r="89" spans="1:17" ht="15.75" customHeight="1"/>
    <row r="90" spans="1:17" ht="15.75" customHeight="1"/>
    <row r="91" spans="1:17" ht="15.75" customHeight="1">
      <c r="A91" s="112"/>
      <c r="B91" s="101"/>
      <c r="C91" s="101"/>
      <c r="D91" s="101"/>
      <c r="E91" s="101"/>
      <c r="F91" s="101"/>
      <c r="G91" s="101"/>
      <c r="H91" s="101"/>
      <c r="I91" s="101"/>
      <c r="J91" s="101"/>
      <c r="K91" s="101"/>
    </row>
    <row r="92" spans="1:17" ht="15.75" customHeight="1">
      <c r="A92" s="407" t="s">
        <v>202</v>
      </c>
      <c r="B92" s="378"/>
      <c r="C92" s="378"/>
      <c r="D92" s="378"/>
      <c r="E92" s="378"/>
      <c r="F92" s="378"/>
      <c r="G92" s="378"/>
      <c r="H92" s="378"/>
      <c r="I92" s="113"/>
      <c r="J92" s="113"/>
      <c r="K92" s="113"/>
    </row>
    <row r="93" spans="1:17" ht="15.75" customHeight="1">
      <c r="A93" s="102"/>
      <c r="B93" s="101"/>
      <c r="C93" s="101"/>
      <c r="D93" s="101"/>
      <c r="E93" s="101"/>
      <c r="F93" s="101"/>
      <c r="G93" s="101"/>
      <c r="H93" s="101"/>
      <c r="I93" s="101"/>
      <c r="J93" s="101"/>
      <c r="K93" s="101"/>
    </row>
    <row r="94" spans="1:17" ht="15.75" customHeight="1">
      <c r="A94" s="76" t="s">
        <v>150</v>
      </c>
      <c r="B94" s="77" t="s">
        <v>153</v>
      </c>
      <c r="C94" s="77" t="s">
        <v>154</v>
      </c>
      <c r="D94" s="77" t="s">
        <v>155</v>
      </c>
      <c r="E94" s="77" t="s">
        <v>156</v>
      </c>
      <c r="F94" s="77" t="s">
        <v>157</v>
      </c>
      <c r="G94" s="77" t="s">
        <v>158</v>
      </c>
      <c r="H94" s="77" t="s">
        <v>159</v>
      </c>
      <c r="I94" s="113"/>
      <c r="J94" s="113"/>
      <c r="K94" s="113"/>
    </row>
    <row r="95" spans="1:17" ht="15.75" customHeight="1">
      <c r="A95" s="78" t="s">
        <v>203</v>
      </c>
      <c r="B95" s="114">
        <f>'6.Cons Profit &amp; Loss'!B49</f>
        <v>1433126.1777606825</v>
      </c>
      <c r="C95" s="114">
        <f>'6.Cons Profit &amp; Loss'!C49</f>
        <v>2046689.8370873139</v>
      </c>
      <c r="D95" s="114">
        <f>'6.Cons Profit &amp; Loss'!D49</f>
        <v>3272088.6634326945</v>
      </c>
      <c r="E95" s="114">
        <f>'6.Cons Profit &amp; Loss'!E49</f>
        <v>3502116.0276908502</v>
      </c>
      <c r="F95" s="114">
        <f>'6.Cons Profit &amp; Loss'!F49</f>
        <v>3746455.5065904148</v>
      </c>
      <c r="G95" s="114">
        <f>'6.Cons Profit &amp; Loss'!G49</f>
        <v>4026210.6801681342</v>
      </c>
      <c r="H95" s="114">
        <f>'6.Cons Profit &amp; Loss'!H49</f>
        <v>4302593.8605186874</v>
      </c>
      <c r="I95" s="115"/>
      <c r="J95" s="115"/>
      <c r="K95" s="115"/>
    </row>
    <row r="96" spans="1:17" ht="15.75" customHeight="1">
      <c r="A96" s="78" t="s">
        <v>204</v>
      </c>
      <c r="B96" s="114">
        <f>'6.Cons Profit &amp; Loss'!B42</f>
        <v>485353.69149999996</v>
      </c>
      <c r="C96" s="114">
        <f>'6.Cons Profit &amp; Loss'!C42</f>
        <v>485353.69149999996</v>
      </c>
      <c r="D96" s="114">
        <f>'6.Cons Profit &amp; Loss'!D42</f>
        <v>485353.69149999996</v>
      </c>
      <c r="E96" s="114">
        <f>'6.Cons Profit &amp; Loss'!E42</f>
        <v>485353.69149999996</v>
      </c>
      <c r="F96" s="114">
        <f>'6.Cons Profit &amp; Loss'!F42</f>
        <v>485353.69149999996</v>
      </c>
      <c r="G96" s="114">
        <f>'6.Cons Profit &amp; Loss'!G42</f>
        <v>485353.69149999996</v>
      </c>
      <c r="H96" s="114">
        <f>'6.Cons Profit &amp; Loss'!H42</f>
        <v>485353.69149999996</v>
      </c>
      <c r="I96" s="115"/>
      <c r="J96" s="115"/>
      <c r="K96" s="115"/>
    </row>
    <row r="97" spans="1:11" ht="15.75" customHeight="1">
      <c r="A97" s="78" t="s">
        <v>205</v>
      </c>
      <c r="B97" s="114">
        <f>'3.Other Exp &amp; Taxes'!K66</f>
        <v>1207049.5</v>
      </c>
      <c r="C97" s="114">
        <f>'3.Other Exp &amp; Taxes'!L66</f>
        <v>1035404.55</v>
      </c>
      <c r="D97" s="114">
        <f>'3.Other Exp &amp; Taxes'!M66</f>
        <v>893065.09499999997</v>
      </c>
      <c r="E97" s="114">
        <f>'3.Other Exp &amp; Taxes'!N66</f>
        <v>773479.43550000002</v>
      </c>
      <c r="F97" s="114">
        <f>'3.Other Exp &amp; Taxes'!O66</f>
        <v>672014.21445000009</v>
      </c>
      <c r="G97" s="114">
        <f>'3.Other Exp &amp; Taxes'!P66</f>
        <v>585285.10713000002</v>
      </c>
      <c r="H97" s="114">
        <f>'3.Other Exp &amp; Taxes'!Q66</f>
        <v>510741.26342325</v>
      </c>
      <c r="I97" s="115"/>
      <c r="J97" s="115"/>
      <c r="K97" s="115"/>
    </row>
    <row r="98" spans="1:11" ht="15.75" customHeight="1">
      <c r="A98" s="78" t="s">
        <v>206</v>
      </c>
      <c r="B98" s="114">
        <f t="shared" ref="B98:H98" si="67">B95+B96-B97</f>
        <v>711430.36926068249</v>
      </c>
      <c r="C98" s="114">
        <f t="shared" si="67"/>
        <v>1496638.9785873138</v>
      </c>
      <c r="D98" s="114">
        <f t="shared" si="67"/>
        <v>2864377.259932695</v>
      </c>
      <c r="E98" s="114">
        <f t="shared" si="67"/>
        <v>3213990.2836908498</v>
      </c>
      <c r="F98" s="114">
        <f t="shared" si="67"/>
        <v>3559794.9836404147</v>
      </c>
      <c r="G98" s="114">
        <f t="shared" si="67"/>
        <v>3926279.264538134</v>
      </c>
      <c r="H98" s="114">
        <f t="shared" si="67"/>
        <v>4277206.2885954371</v>
      </c>
      <c r="I98" s="115"/>
      <c r="J98" s="115"/>
      <c r="K98" s="115"/>
    </row>
    <row r="99" spans="1:11" ht="15.75" customHeight="1">
      <c r="A99" s="81" t="s">
        <v>207</v>
      </c>
      <c r="B99" s="116">
        <f t="shared" ref="B99:H99" si="68">B98*$B$102</f>
        <v>184971.89600777745</v>
      </c>
      <c r="C99" s="116">
        <f t="shared" si="68"/>
        <v>389126.13443270163</v>
      </c>
      <c r="D99" s="116">
        <f t="shared" si="68"/>
        <v>744738.08758250077</v>
      </c>
      <c r="E99" s="116">
        <f t="shared" si="68"/>
        <v>835637.47375962092</v>
      </c>
      <c r="F99" s="116">
        <f t="shared" si="68"/>
        <v>925546.69574650784</v>
      </c>
      <c r="G99" s="116">
        <f t="shared" si="68"/>
        <v>1020832.6087799149</v>
      </c>
      <c r="H99" s="116">
        <f t="shared" si="68"/>
        <v>1112073.6350348138</v>
      </c>
      <c r="I99" s="115"/>
      <c r="J99" s="115"/>
      <c r="K99" s="115"/>
    </row>
    <row r="100" spans="1:11" ht="15.75" customHeight="1">
      <c r="A100" s="117"/>
      <c r="B100" s="101"/>
      <c r="C100" s="101"/>
      <c r="D100" s="101"/>
      <c r="E100" s="101"/>
      <c r="F100" s="101"/>
      <c r="G100" s="101"/>
      <c r="H100" s="101"/>
      <c r="I100" s="101"/>
      <c r="J100" s="101"/>
      <c r="K100" s="101"/>
    </row>
    <row r="101" spans="1:11" ht="15.75" customHeight="1">
      <c r="A101" s="117"/>
      <c r="B101" s="106"/>
      <c r="C101" s="106"/>
      <c r="D101" s="106"/>
      <c r="E101" s="106"/>
      <c r="F101" s="106"/>
      <c r="G101" s="106"/>
      <c r="H101" s="106"/>
      <c r="I101" s="106"/>
      <c r="J101" s="106"/>
      <c r="K101" s="106"/>
    </row>
    <row r="102" spans="1:11" ht="15.75" customHeight="1">
      <c r="A102" s="118" t="s">
        <v>208</v>
      </c>
      <c r="B102" s="119">
        <v>0.26</v>
      </c>
      <c r="C102" s="106"/>
      <c r="D102" s="106"/>
      <c r="E102" s="106"/>
      <c r="F102" s="106"/>
      <c r="G102" s="106"/>
      <c r="H102" s="106"/>
      <c r="I102" s="106"/>
      <c r="J102" s="106"/>
      <c r="K102" s="106"/>
    </row>
    <row r="103" spans="1:11" ht="15.75" customHeight="1">
      <c r="A103" s="101"/>
      <c r="B103" s="101"/>
      <c r="C103" s="101"/>
      <c r="D103" s="101"/>
      <c r="E103" s="101"/>
      <c r="F103" s="101"/>
      <c r="G103" s="101"/>
      <c r="H103" s="101"/>
      <c r="I103" s="101"/>
      <c r="J103" s="101"/>
      <c r="K103" s="101"/>
    </row>
    <row r="104" spans="1:11" ht="28.5" customHeight="1">
      <c r="A104" s="408" t="s">
        <v>209</v>
      </c>
      <c r="B104" s="378"/>
      <c r="C104" s="378"/>
      <c r="D104" s="378"/>
      <c r="E104" s="378"/>
      <c r="F104" s="378"/>
      <c r="G104" s="378"/>
      <c r="H104" s="378"/>
      <c r="I104" s="106"/>
      <c r="J104" s="106"/>
      <c r="K104" s="106"/>
    </row>
  </sheetData>
  <mergeCells count="8">
    <mergeCell ref="A83:J83"/>
    <mergeCell ref="A92:H92"/>
    <mergeCell ref="A104:H104"/>
    <mergeCell ref="A2:K2"/>
    <mergeCell ref="A28:O28"/>
    <mergeCell ref="C31:I31"/>
    <mergeCell ref="K31:Q31"/>
    <mergeCell ref="A29:Q29"/>
  </mergeCells>
  <pageMargins left="0.7" right="0.7" top="0.75" bottom="0.75" header="0" footer="0"/>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0"/>
  <sheetViews>
    <sheetView workbookViewId="0">
      <selection activeCell="D6" sqref="D6"/>
    </sheetView>
  </sheetViews>
  <sheetFormatPr defaultColWidth="14.42578125" defaultRowHeight="15" customHeight="1"/>
  <cols>
    <col min="1" max="1" width="8.7109375" customWidth="1"/>
    <col min="2" max="2" width="15.42578125" customWidth="1"/>
    <col min="3" max="3" width="28.140625" customWidth="1"/>
    <col min="4" max="4" width="14.7109375" customWidth="1"/>
    <col min="5" max="5" width="25.85546875" customWidth="1"/>
    <col min="6" max="6" width="12.140625" customWidth="1"/>
    <col min="7" max="7" width="27.28515625" customWidth="1"/>
    <col min="8" max="8" width="12.28515625" customWidth="1"/>
    <col min="9" max="9" width="11.7109375" customWidth="1"/>
    <col min="10" max="11" width="8.7109375" customWidth="1"/>
  </cols>
  <sheetData>
    <row r="2" spans="1:7" ht="18.75">
      <c r="A2" s="394" t="s">
        <v>210</v>
      </c>
      <c r="B2" s="378"/>
      <c r="C2" s="378"/>
      <c r="D2" s="378"/>
      <c r="E2" s="378"/>
      <c r="F2" s="378"/>
      <c r="G2" s="412"/>
    </row>
    <row r="3" spans="1:7">
      <c r="B3" s="48"/>
      <c r="C3" s="48"/>
      <c r="D3" s="48"/>
      <c r="E3" s="48"/>
      <c r="F3" s="48"/>
      <c r="G3" s="48"/>
    </row>
    <row r="4" spans="1:7">
      <c r="A4" s="73"/>
      <c r="B4" s="73"/>
      <c r="C4" s="73" t="s">
        <v>211</v>
      </c>
      <c r="D4" s="120">
        <f>'1.Project Cost and MOF'!E20</f>
        <v>1904899</v>
      </c>
      <c r="E4" s="73"/>
      <c r="F4" s="73"/>
      <c r="G4" s="73"/>
    </row>
    <row r="5" spans="1:7">
      <c r="A5" s="73"/>
      <c r="B5" s="73"/>
      <c r="C5" s="73" t="s">
        <v>212</v>
      </c>
      <c r="D5" s="121">
        <v>0.13</v>
      </c>
      <c r="E5" s="73"/>
      <c r="F5" s="73"/>
      <c r="G5" s="73"/>
    </row>
    <row r="6" spans="1:7">
      <c r="A6" s="73"/>
      <c r="B6" s="73"/>
      <c r="C6" s="73" t="s">
        <v>213</v>
      </c>
      <c r="D6" s="122">
        <v>7</v>
      </c>
      <c r="E6" s="73"/>
      <c r="F6" s="73"/>
      <c r="G6" s="73"/>
    </row>
    <row r="7" spans="1:7">
      <c r="A7" s="73"/>
      <c r="B7" s="73"/>
      <c r="C7" s="73" t="s">
        <v>214</v>
      </c>
      <c r="D7" s="122">
        <v>0</v>
      </c>
      <c r="E7" s="73"/>
      <c r="F7" s="73"/>
      <c r="G7" s="73"/>
    </row>
    <row r="8" spans="1:7">
      <c r="A8" s="73"/>
      <c r="B8" s="73"/>
      <c r="C8" s="73" t="s">
        <v>215</v>
      </c>
      <c r="D8" s="123">
        <f>PMT(D5/12,(D6-(D7/12))*12,-D4)</f>
        <v>34653.852791119432</v>
      </c>
      <c r="E8" s="123"/>
      <c r="F8" s="124"/>
      <c r="G8" s="73"/>
    </row>
    <row r="9" spans="1:7">
      <c r="A9" s="76" t="s">
        <v>216</v>
      </c>
      <c r="B9" s="125" t="s">
        <v>217</v>
      </c>
      <c r="C9" s="126" t="s">
        <v>218</v>
      </c>
      <c r="D9" s="126" t="s">
        <v>219</v>
      </c>
      <c r="E9" s="126" t="s">
        <v>220</v>
      </c>
      <c r="F9" s="126" t="s">
        <v>215</v>
      </c>
      <c r="G9" s="126" t="s">
        <v>221</v>
      </c>
    </row>
    <row r="10" spans="1:7">
      <c r="A10" s="78" t="s">
        <v>222</v>
      </c>
      <c r="B10" s="78" t="s">
        <v>223</v>
      </c>
      <c r="C10" s="80">
        <f>D4</f>
        <v>1904899</v>
      </c>
      <c r="D10" s="80">
        <f t="shared" ref="D10:D93" si="0">C10*$D$5/12</f>
        <v>20636.405833333334</v>
      </c>
      <c r="E10" s="80">
        <f t="shared" ref="E10:E93" si="1">F10-D10</f>
        <v>14017.446957786098</v>
      </c>
      <c r="F10" s="80">
        <f t="shared" ref="F10:F15" si="2">$D$8</f>
        <v>34653.852791119432</v>
      </c>
      <c r="G10" s="80">
        <f t="shared" ref="G10:G93" si="3">C10-E10</f>
        <v>1890881.5530422139</v>
      </c>
    </row>
    <row r="11" spans="1:7">
      <c r="A11" s="78"/>
      <c r="B11" s="78" t="s">
        <v>224</v>
      </c>
      <c r="C11" s="80">
        <f t="shared" ref="C11:C93" si="4">G10</f>
        <v>1890881.5530422139</v>
      </c>
      <c r="D11" s="80">
        <f t="shared" si="0"/>
        <v>20484.550157957317</v>
      </c>
      <c r="E11" s="80">
        <f t="shared" si="1"/>
        <v>14169.302633162115</v>
      </c>
      <c r="F11" s="80">
        <f t="shared" si="2"/>
        <v>34653.852791119432</v>
      </c>
      <c r="G11" s="80">
        <f t="shared" si="3"/>
        <v>1876712.2504090518</v>
      </c>
    </row>
    <row r="12" spans="1:7">
      <c r="A12" s="78"/>
      <c r="B12" s="78" t="s">
        <v>225</v>
      </c>
      <c r="C12" s="80">
        <f t="shared" si="4"/>
        <v>1876712.2504090518</v>
      </c>
      <c r="D12" s="80">
        <f t="shared" si="0"/>
        <v>20331.049379431395</v>
      </c>
      <c r="E12" s="80">
        <f t="shared" si="1"/>
        <v>14322.803411688037</v>
      </c>
      <c r="F12" s="80">
        <f t="shared" si="2"/>
        <v>34653.852791119432</v>
      </c>
      <c r="G12" s="80">
        <f t="shared" si="3"/>
        <v>1862389.4469973638</v>
      </c>
    </row>
    <row r="13" spans="1:7">
      <c r="A13" s="78"/>
      <c r="B13" s="78" t="s">
        <v>226</v>
      </c>
      <c r="C13" s="80">
        <f t="shared" si="4"/>
        <v>1862389.4469973638</v>
      </c>
      <c r="D13" s="80">
        <f t="shared" si="0"/>
        <v>20175.885675804773</v>
      </c>
      <c r="E13" s="80">
        <f t="shared" si="1"/>
        <v>14477.967115314659</v>
      </c>
      <c r="F13" s="80">
        <f t="shared" si="2"/>
        <v>34653.852791119432</v>
      </c>
      <c r="G13" s="80">
        <f t="shared" si="3"/>
        <v>1847911.4798820491</v>
      </c>
    </row>
    <row r="14" spans="1:7">
      <c r="A14" s="78"/>
      <c r="B14" s="78" t="s">
        <v>227</v>
      </c>
      <c r="C14" s="80">
        <f t="shared" si="4"/>
        <v>1847911.4798820491</v>
      </c>
      <c r="D14" s="80">
        <f t="shared" si="0"/>
        <v>20019.041032055535</v>
      </c>
      <c r="E14" s="80">
        <f t="shared" si="1"/>
        <v>14634.811759063898</v>
      </c>
      <c r="F14" s="80">
        <f t="shared" si="2"/>
        <v>34653.852791119432</v>
      </c>
      <c r="G14" s="80">
        <f t="shared" si="3"/>
        <v>1833276.6681229852</v>
      </c>
    </row>
    <row r="15" spans="1:7">
      <c r="A15" s="78"/>
      <c r="B15" s="78" t="s">
        <v>228</v>
      </c>
      <c r="C15" s="80">
        <f t="shared" si="4"/>
        <v>1833276.6681229852</v>
      </c>
      <c r="D15" s="80">
        <f t="shared" si="0"/>
        <v>19860.497237999007</v>
      </c>
      <c r="E15" s="80">
        <f t="shared" si="1"/>
        <v>14793.355553120426</v>
      </c>
      <c r="F15" s="80">
        <f t="shared" si="2"/>
        <v>34653.852791119432</v>
      </c>
      <c r="G15" s="80">
        <f t="shared" si="3"/>
        <v>1818483.3125698648</v>
      </c>
    </row>
    <row r="16" spans="1:7">
      <c r="A16" s="78"/>
      <c r="B16" s="78" t="s">
        <v>229</v>
      </c>
      <c r="C16" s="80">
        <f t="shared" si="4"/>
        <v>1818483.3125698648</v>
      </c>
      <c r="D16" s="80">
        <f t="shared" si="0"/>
        <v>19700.235886173537</v>
      </c>
      <c r="E16" s="80">
        <f t="shared" si="1"/>
        <v>14953.616904945895</v>
      </c>
      <c r="F16" s="80">
        <f t="shared" ref="F16:F93" si="5">$D$8</f>
        <v>34653.852791119432</v>
      </c>
      <c r="G16" s="80">
        <f t="shared" si="3"/>
        <v>1803529.695664919</v>
      </c>
    </row>
    <row r="17" spans="1:9">
      <c r="A17" s="78"/>
      <c r="B17" s="78" t="s">
        <v>230</v>
      </c>
      <c r="C17" s="80">
        <f t="shared" si="4"/>
        <v>1803529.695664919</v>
      </c>
      <c r="D17" s="80">
        <f t="shared" si="0"/>
        <v>19538.238369703289</v>
      </c>
      <c r="E17" s="80">
        <f t="shared" si="1"/>
        <v>15115.614421416143</v>
      </c>
      <c r="F17" s="80">
        <f t="shared" si="5"/>
        <v>34653.852791119432</v>
      </c>
      <c r="G17" s="80">
        <f t="shared" si="3"/>
        <v>1788414.0812435029</v>
      </c>
    </row>
    <row r="18" spans="1:9">
      <c r="A18" s="78"/>
      <c r="B18" s="78" t="s">
        <v>231</v>
      </c>
      <c r="C18" s="80">
        <f t="shared" si="4"/>
        <v>1788414.0812435029</v>
      </c>
      <c r="D18" s="80">
        <f t="shared" si="0"/>
        <v>19374.485880137949</v>
      </c>
      <c r="E18" s="80">
        <f t="shared" si="1"/>
        <v>15279.366910981484</v>
      </c>
      <c r="F18" s="80">
        <f t="shared" si="5"/>
        <v>34653.852791119432</v>
      </c>
      <c r="G18" s="80">
        <f t="shared" si="3"/>
        <v>1773134.7143325214</v>
      </c>
    </row>
    <row r="19" spans="1:9">
      <c r="A19" s="78"/>
      <c r="B19" s="78" t="s">
        <v>232</v>
      </c>
      <c r="C19" s="80">
        <f t="shared" si="4"/>
        <v>1773134.7143325214</v>
      </c>
      <c r="D19" s="80">
        <f t="shared" si="0"/>
        <v>19208.959405268983</v>
      </c>
      <c r="E19" s="80">
        <f t="shared" si="1"/>
        <v>15444.89338585045</v>
      </c>
      <c r="F19" s="80">
        <f t="shared" si="5"/>
        <v>34653.852791119432</v>
      </c>
      <c r="G19" s="80">
        <f t="shared" si="3"/>
        <v>1757689.8209466711</v>
      </c>
    </row>
    <row r="20" spans="1:9">
      <c r="A20" s="78"/>
      <c r="B20" s="78" t="s">
        <v>233</v>
      </c>
      <c r="C20" s="80">
        <f t="shared" si="4"/>
        <v>1757689.8209466711</v>
      </c>
      <c r="D20" s="80">
        <f t="shared" si="0"/>
        <v>19041.639726922269</v>
      </c>
      <c r="E20" s="80">
        <f t="shared" si="1"/>
        <v>15612.213064197163</v>
      </c>
      <c r="F20" s="80">
        <f t="shared" si="5"/>
        <v>34653.852791119432</v>
      </c>
      <c r="G20" s="80">
        <f t="shared" si="3"/>
        <v>1742077.6078824739</v>
      </c>
    </row>
    <row r="21" spans="1:9" ht="15.75" customHeight="1">
      <c r="A21" s="78"/>
      <c r="B21" s="78" t="s">
        <v>234</v>
      </c>
      <c r="C21" s="80">
        <f t="shared" si="4"/>
        <v>1742077.6078824739</v>
      </c>
      <c r="D21" s="80">
        <f t="shared" si="0"/>
        <v>18872.5074187268</v>
      </c>
      <c r="E21" s="80">
        <f t="shared" si="1"/>
        <v>15781.345372392632</v>
      </c>
      <c r="F21" s="80">
        <f t="shared" si="5"/>
        <v>34653.852791119432</v>
      </c>
      <c r="G21" s="80">
        <f t="shared" si="3"/>
        <v>1726296.2625100813</v>
      </c>
      <c r="H21" s="127"/>
      <c r="I21" s="127"/>
    </row>
    <row r="22" spans="1:9" ht="15.75" customHeight="1">
      <c r="A22" s="78" t="s">
        <v>235</v>
      </c>
      <c r="B22" s="78" t="s">
        <v>236</v>
      </c>
      <c r="C22" s="80">
        <f t="shared" si="4"/>
        <v>1726296.2625100813</v>
      </c>
      <c r="D22" s="80">
        <f t="shared" si="0"/>
        <v>18701.542843859213</v>
      </c>
      <c r="E22" s="80">
        <f t="shared" si="1"/>
        <v>15952.309947260219</v>
      </c>
      <c r="F22" s="80">
        <f t="shared" si="5"/>
        <v>34653.852791119432</v>
      </c>
      <c r="G22" s="80">
        <f t="shared" si="3"/>
        <v>1710343.9525628211</v>
      </c>
    </row>
    <row r="23" spans="1:9" ht="15.75" customHeight="1">
      <c r="A23" s="78"/>
      <c r="B23" s="78" t="s">
        <v>237</v>
      </c>
      <c r="C23" s="80">
        <f t="shared" si="4"/>
        <v>1710343.9525628211</v>
      </c>
      <c r="D23" s="80">
        <f t="shared" si="0"/>
        <v>18528.726152763895</v>
      </c>
      <c r="E23" s="80">
        <f t="shared" si="1"/>
        <v>16125.126638355538</v>
      </c>
      <c r="F23" s="80">
        <f t="shared" si="5"/>
        <v>34653.852791119432</v>
      </c>
      <c r="G23" s="80">
        <f t="shared" si="3"/>
        <v>1694218.8259244657</v>
      </c>
    </row>
    <row r="24" spans="1:9" ht="15.75" customHeight="1">
      <c r="A24" s="78"/>
      <c r="B24" s="78" t="s">
        <v>238</v>
      </c>
      <c r="C24" s="80">
        <f t="shared" si="4"/>
        <v>1694218.8259244657</v>
      </c>
      <c r="D24" s="80">
        <f t="shared" si="0"/>
        <v>18354.037280848377</v>
      </c>
      <c r="E24" s="80">
        <f t="shared" si="1"/>
        <v>16299.815510271055</v>
      </c>
      <c r="F24" s="80">
        <f t="shared" si="5"/>
        <v>34653.852791119432</v>
      </c>
      <c r="G24" s="80">
        <f t="shared" si="3"/>
        <v>1677919.0104141945</v>
      </c>
    </row>
    <row r="25" spans="1:9" ht="15.75" customHeight="1">
      <c r="A25" s="78"/>
      <c r="B25" s="78" t="s">
        <v>239</v>
      </c>
      <c r="C25" s="80">
        <f t="shared" si="4"/>
        <v>1677919.0104141945</v>
      </c>
      <c r="D25" s="80">
        <f t="shared" si="0"/>
        <v>18177.455946153776</v>
      </c>
      <c r="E25" s="80">
        <f t="shared" si="1"/>
        <v>16476.396844965657</v>
      </c>
      <c r="F25" s="80">
        <f t="shared" si="5"/>
        <v>34653.852791119432</v>
      </c>
      <c r="G25" s="80">
        <f t="shared" si="3"/>
        <v>1661442.6135692289</v>
      </c>
    </row>
    <row r="26" spans="1:9" ht="15.75" customHeight="1">
      <c r="A26" s="78"/>
      <c r="B26" s="78" t="s">
        <v>240</v>
      </c>
      <c r="C26" s="80">
        <f t="shared" si="4"/>
        <v>1661442.6135692289</v>
      </c>
      <c r="D26" s="80">
        <f t="shared" si="0"/>
        <v>17998.961646999978</v>
      </c>
      <c r="E26" s="80">
        <f t="shared" si="1"/>
        <v>16654.891144119454</v>
      </c>
      <c r="F26" s="80">
        <f t="shared" si="5"/>
        <v>34653.852791119432</v>
      </c>
      <c r="G26" s="80">
        <f t="shared" si="3"/>
        <v>1644787.7224251095</v>
      </c>
    </row>
    <row r="27" spans="1:9" ht="15.75" customHeight="1">
      <c r="A27" s="78"/>
      <c r="B27" s="78" t="s">
        <v>241</v>
      </c>
      <c r="C27" s="80">
        <f t="shared" si="4"/>
        <v>1644787.7224251095</v>
      </c>
      <c r="D27" s="80">
        <f t="shared" si="0"/>
        <v>17818.533659605353</v>
      </c>
      <c r="E27" s="80">
        <f t="shared" si="1"/>
        <v>16835.319131514079</v>
      </c>
      <c r="F27" s="80">
        <f t="shared" si="5"/>
        <v>34653.852791119432</v>
      </c>
      <c r="G27" s="80">
        <f t="shared" si="3"/>
        <v>1627952.4032935954</v>
      </c>
    </row>
    <row r="28" spans="1:9" ht="15.75" customHeight="1">
      <c r="A28" s="78"/>
      <c r="B28" s="78" t="s">
        <v>242</v>
      </c>
      <c r="C28" s="80">
        <f t="shared" si="4"/>
        <v>1627952.4032935954</v>
      </c>
      <c r="D28" s="80">
        <f t="shared" si="0"/>
        <v>17636.151035680617</v>
      </c>
      <c r="E28" s="80">
        <f t="shared" si="1"/>
        <v>17017.701755438815</v>
      </c>
      <c r="F28" s="80">
        <f t="shared" si="5"/>
        <v>34653.852791119432</v>
      </c>
      <c r="G28" s="80">
        <f t="shared" si="3"/>
        <v>1610934.7015381567</v>
      </c>
    </row>
    <row r="29" spans="1:9" ht="15.75" customHeight="1">
      <c r="A29" s="78"/>
      <c r="B29" s="78" t="s">
        <v>243</v>
      </c>
      <c r="C29" s="80">
        <f t="shared" si="4"/>
        <v>1610934.7015381567</v>
      </c>
      <c r="D29" s="80">
        <f t="shared" si="0"/>
        <v>17451.792599996697</v>
      </c>
      <c r="E29" s="80">
        <f t="shared" si="1"/>
        <v>17202.060191122735</v>
      </c>
      <c r="F29" s="80">
        <f t="shared" si="5"/>
        <v>34653.852791119432</v>
      </c>
      <c r="G29" s="80">
        <f t="shared" si="3"/>
        <v>1593732.6413470339</v>
      </c>
    </row>
    <row r="30" spans="1:9" ht="15.75" customHeight="1">
      <c r="A30" s="78"/>
      <c r="B30" s="78" t="s">
        <v>244</v>
      </c>
      <c r="C30" s="80">
        <f t="shared" si="4"/>
        <v>1593732.6413470339</v>
      </c>
      <c r="D30" s="80">
        <f t="shared" si="0"/>
        <v>17265.436947926202</v>
      </c>
      <c r="E30" s="80">
        <f t="shared" si="1"/>
        <v>17388.41584319323</v>
      </c>
      <c r="F30" s="80">
        <f t="shared" si="5"/>
        <v>34653.852791119432</v>
      </c>
      <c r="G30" s="80">
        <f t="shared" si="3"/>
        <v>1576344.2255038407</v>
      </c>
    </row>
    <row r="31" spans="1:9" ht="15.75" customHeight="1">
      <c r="A31" s="78"/>
      <c r="B31" s="78" t="s">
        <v>245</v>
      </c>
      <c r="C31" s="80">
        <f t="shared" si="4"/>
        <v>1576344.2255038407</v>
      </c>
      <c r="D31" s="80">
        <f t="shared" si="0"/>
        <v>17077.062442958275</v>
      </c>
      <c r="E31" s="80">
        <f t="shared" si="1"/>
        <v>17576.790348161157</v>
      </c>
      <c r="F31" s="80">
        <f t="shared" si="5"/>
        <v>34653.852791119432</v>
      </c>
      <c r="G31" s="80">
        <f t="shared" si="3"/>
        <v>1558767.4351556795</v>
      </c>
    </row>
    <row r="32" spans="1:9" ht="15.75" customHeight="1">
      <c r="A32" s="78"/>
      <c r="B32" s="78" t="s">
        <v>246</v>
      </c>
      <c r="C32" s="80">
        <f t="shared" si="4"/>
        <v>1558767.4351556795</v>
      </c>
      <c r="D32" s="80">
        <f t="shared" si="0"/>
        <v>16886.647214186527</v>
      </c>
      <c r="E32" s="80">
        <f t="shared" si="1"/>
        <v>17767.205576932905</v>
      </c>
      <c r="F32" s="80">
        <f t="shared" si="5"/>
        <v>34653.852791119432</v>
      </c>
      <c r="G32" s="80">
        <f t="shared" si="3"/>
        <v>1541000.2295787465</v>
      </c>
    </row>
    <row r="33" spans="1:9" ht="15.75" customHeight="1">
      <c r="A33" s="78"/>
      <c r="B33" s="78" t="s">
        <v>247</v>
      </c>
      <c r="C33" s="80">
        <f t="shared" si="4"/>
        <v>1541000.2295787465</v>
      </c>
      <c r="D33" s="80">
        <f t="shared" si="0"/>
        <v>16694.169153769755</v>
      </c>
      <c r="E33" s="80">
        <f t="shared" si="1"/>
        <v>17959.683637349677</v>
      </c>
      <c r="F33" s="80">
        <f t="shared" si="5"/>
        <v>34653.852791119432</v>
      </c>
      <c r="G33" s="80">
        <f t="shared" si="3"/>
        <v>1523040.5459413968</v>
      </c>
      <c r="H33" s="127"/>
      <c r="I33" s="127"/>
    </row>
    <row r="34" spans="1:9" ht="15.75" customHeight="1">
      <c r="A34" s="78" t="s">
        <v>248</v>
      </c>
      <c r="B34" s="78" t="s">
        <v>249</v>
      </c>
      <c r="C34" s="80">
        <f t="shared" si="4"/>
        <v>1523040.5459413968</v>
      </c>
      <c r="D34" s="80">
        <f t="shared" si="0"/>
        <v>16499.605914365133</v>
      </c>
      <c r="E34" s="80">
        <f t="shared" si="1"/>
        <v>18154.2468767543</v>
      </c>
      <c r="F34" s="80">
        <f t="shared" si="5"/>
        <v>34653.852791119432</v>
      </c>
      <c r="G34" s="80">
        <f t="shared" si="3"/>
        <v>1504886.2990646425</v>
      </c>
    </row>
    <row r="35" spans="1:9" ht="15.75" customHeight="1">
      <c r="A35" s="78"/>
      <c r="B35" s="78" t="s">
        <v>250</v>
      </c>
      <c r="C35" s="80">
        <f t="shared" si="4"/>
        <v>1504886.2990646425</v>
      </c>
      <c r="D35" s="80">
        <f t="shared" si="0"/>
        <v>16302.934906533628</v>
      </c>
      <c r="E35" s="80">
        <f t="shared" si="1"/>
        <v>18350.917884585804</v>
      </c>
      <c r="F35" s="80">
        <f t="shared" si="5"/>
        <v>34653.852791119432</v>
      </c>
      <c r="G35" s="80">
        <f t="shared" si="3"/>
        <v>1486535.3811800566</v>
      </c>
    </row>
    <row r="36" spans="1:9" ht="15.75" customHeight="1">
      <c r="A36" s="78"/>
      <c r="B36" s="78" t="s">
        <v>251</v>
      </c>
      <c r="C36" s="80">
        <f t="shared" si="4"/>
        <v>1486535.3811800566</v>
      </c>
      <c r="D36" s="80">
        <f t="shared" si="0"/>
        <v>16104.133296117281</v>
      </c>
      <c r="E36" s="80">
        <f t="shared" si="1"/>
        <v>18549.719495002151</v>
      </c>
      <c r="F36" s="80">
        <f t="shared" si="5"/>
        <v>34653.852791119432</v>
      </c>
      <c r="G36" s="80">
        <f t="shared" si="3"/>
        <v>1467985.6616850544</v>
      </c>
    </row>
    <row r="37" spans="1:9" ht="15.75" customHeight="1">
      <c r="A37" s="78"/>
      <c r="B37" s="78" t="s">
        <v>252</v>
      </c>
      <c r="C37" s="80">
        <f t="shared" si="4"/>
        <v>1467985.6616850544</v>
      </c>
      <c r="D37" s="80">
        <f t="shared" si="0"/>
        <v>15903.178001588089</v>
      </c>
      <c r="E37" s="80">
        <f t="shared" si="1"/>
        <v>18750.674789531346</v>
      </c>
      <c r="F37" s="80">
        <f t="shared" si="5"/>
        <v>34653.852791119432</v>
      </c>
      <c r="G37" s="80">
        <f t="shared" si="3"/>
        <v>1449234.986895523</v>
      </c>
    </row>
    <row r="38" spans="1:9" ht="15.75" customHeight="1">
      <c r="A38" s="78"/>
      <c r="B38" s="78" t="s">
        <v>253</v>
      </c>
      <c r="C38" s="80">
        <f t="shared" si="4"/>
        <v>1449234.986895523</v>
      </c>
      <c r="D38" s="80">
        <f t="shared" si="0"/>
        <v>15700.045691368168</v>
      </c>
      <c r="E38" s="80">
        <f t="shared" si="1"/>
        <v>18953.807099751262</v>
      </c>
      <c r="F38" s="80">
        <f t="shared" si="5"/>
        <v>34653.852791119432</v>
      </c>
      <c r="G38" s="80">
        <f t="shared" si="3"/>
        <v>1430281.1797957718</v>
      </c>
    </row>
    <row r="39" spans="1:9" ht="15.75" customHeight="1">
      <c r="A39" s="78"/>
      <c r="B39" s="78" t="s">
        <v>254</v>
      </c>
      <c r="C39" s="80">
        <f t="shared" si="4"/>
        <v>1430281.1797957718</v>
      </c>
      <c r="D39" s="80">
        <f t="shared" si="0"/>
        <v>15494.712781120863</v>
      </c>
      <c r="E39" s="80">
        <f t="shared" si="1"/>
        <v>19159.140009998569</v>
      </c>
      <c r="F39" s="80">
        <f t="shared" si="5"/>
        <v>34653.852791119432</v>
      </c>
      <c r="G39" s="80">
        <f t="shared" si="3"/>
        <v>1411122.0397857733</v>
      </c>
    </row>
    <row r="40" spans="1:9" ht="15.75" customHeight="1">
      <c r="A40" s="78"/>
      <c r="B40" s="78" t="s">
        <v>255</v>
      </c>
      <c r="C40" s="80">
        <f t="shared" si="4"/>
        <v>1411122.0397857733</v>
      </c>
      <c r="D40" s="80">
        <f t="shared" si="0"/>
        <v>15287.155431012543</v>
      </c>
      <c r="E40" s="80">
        <f t="shared" si="1"/>
        <v>19366.697360106889</v>
      </c>
      <c r="F40" s="80">
        <f t="shared" si="5"/>
        <v>34653.852791119432</v>
      </c>
      <c r="G40" s="80">
        <f t="shared" si="3"/>
        <v>1391755.3424256663</v>
      </c>
    </row>
    <row r="41" spans="1:9" ht="15.75" customHeight="1">
      <c r="A41" s="78"/>
      <c r="B41" s="78" t="s">
        <v>256</v>
      </c>
      <c r="C41" s="80">
        <f t="shared" si="4"/>
        <v>1391755.3424256663</v>
      </c>
      <c r="D41" s="80">
        <f t="shared" si="0"/>
        <v>15077.349542944719</v>
      </c>
      <c r="E41" s="80">
        <f t="shared" si="1"/>
        <v>19576.503248174711</v>
      </c>
      <c r="F41" s="80">
        <f t="shared" si="5"/>
        <v>34653.852791119432</v>
      </c>
      <c r="G41" s="80">
        <f t="shared" si="3"/>
        <v>1372178.8391774916</v>
      </c>
    </row>
    <row r="42" spans="1:9" ht="15.75" customHeight="1">
      <c r="A42" s="78"/>
      <c r="B42" s="78" t="s">
        <v>257</v>
      </c>
      <c r="C42" s="80">
        <f t="shared" si="4"/>
        <v>1372178.8391774916</v>
      </c>
      <c r="D42" s="80">
        <f t="shared" si="0"/>
        <v>14865.27075775616</v>
      </c>
      <c r="E42" s="80">
        <f t="shared" si="1"/>
        <v>19788.582033363273</v>
      </c>
      <c r="F42" s="80">
        <f t="shared" si="5"/>
        <v>34653.852791119432</v>
      </c>
      <c r="G42" s="80">
        <f t="shared" si="3"/>
        <v>1352390.2571441284</v>
      </c>
    </row>
    <row r="43" spans="1:9" ht="15.75" customHeight="1">
      <c r="A43" s="78"/>
      <c r="B43" s="78" t="s">
        <v>258</v>
      </c>
      <c r="C43" s="80">
        <f t="shared" si="4"/>
        <v>1352390.2571441284</v>
      </c>
      <c r="D43" s="80">
        <f t="shared" si="0"/>
        <v>14650.894452394727</v>
      </c>
      <c r="E43" s="80">
        <f t="shared" si="1"/>
        <v>20002.958338724704</v>
      </c>
      <c r="F43" s="80">
        <f t="shared" si="5"/>
        <v>34653.852791119432</v>
      </c>
      <c r="G43" s="80">
        <f t="shared" si="3"/>
        <v>1332387.2988054038</v>
      </c>
    </row>
    <row r="44" spans="1:9" ht="15.75" customHeight="1">
      <c r="A44" s="78"/>
      <c r="B44" s="78" t="s">
        <v>259</v>
      </c>
      <c r="C44" s="80">
        <f t="shared" si="4"/>
        <v>1332387.2988054038</v>
      </c>
      <c r="D44" s="80">
        <f t="shared" si="0"/>
        <v>14434.195737058542</v>
      </c>
      <c r="E44" s="80">
        <f t="shared" si="1"/>
        <v>20219.657054060888</v>
      </c>
      <c r="F44" s="80">
        <f t="shared" si="5"/>
        <v>34653.852791119432</v>
      </c>
      <c r="G44" s="80">
        <f t="shared" si="3"/>
        <v>1312167.6417513429</v>
      </c>
    </row>
    <row r="45" spans="1:9" ht="15.75" customHeight="1">
      <c r="A45" s="78"/>
      <c r="B45" s="78" t="s">
        <v>260</v>
      </c>
      <c r="C45" s="80">
        <f t="shared" si="4"/>
        <v>1312167.6417513429</v>
      </c>
      <c r="D45" s="80">
        <f t="shared" si="0"/>
        <v>14215.149452306216</v>
      </c>
      <c r="E45" s="80">
        <f t="shared" si="1"/>
        <v>20438.703338813219</v>
      </c>
      <c r="F45" s="80">
        <f t="shared" si="5"/>
        <v>34653.852791119432</v>
      </c>
      <c r="G45" s="80">
        <f t="shared" si="3"/>
        <v>1291728.9384125296</v>
      </c>
      <c r="H45" s="127"/>
      <c r="I45" s="127"/>
    </row>
    <row r="46" spans="1:9" ht="15.75" customHeight="1">
      <c r="A46" s="78" t="s">
        <v>261</v>
      </c>
      <c r="B46" s="78" t="s">
        <v>262</v>
      </c>
      <c r="C46" s="80">
        <f t="shared" si="4"/>
        <v>1291728.9384125296</v>
      </c>
      <c r="D46" s="80">
        <f t="shared" si="0"/>
        <v>13993.73016613574</v>
      </c>
      <c r="E46" s="80">
        <f t="shared" si="1"/>
        <v>20660.122624983691</v>
      </c>
      <c r="F46" s="80">
        <f t="shared" si="5"/>
        <v>34653.852791119432</v>
      </c>
      <c r="G46" s="80">
        <f t="shared" si="3"/>
        <v>1271068.8157875459</v>
      </c>
    </row>
    <row r="47" spans="1:9" ht="15.75" customHeight="1">
      <c r="A47" s="78"/>
      <c r="B47" s="78" t="s">
        <v>263</v>
      </c>
      <c r="C47" s="80">
        <f t="shared" si="4"/>
        <v>1271068.8157875459</v>
      </c>
      <c r="D47" s="80">
        <f t="shared" si="0"/>
        <v>13769.912171031749</v>
      </c>
      <c r="E47" s="80">
        <f t="shared" si="1"/>
        <v>20883.940620087684</v>
      </c>
      <c r="F47" s="80">
        <f t="shared" si="5"/>
        <v>34653.852791119432</v>
      </c>
      <c r="G47" s="80">
        <f t="shared" si="3"/>
        <v>1250184.8751674581</v>
      </c>
    </row>
    <row r="48" spans="1:9" ht="15.75" customHeight="1">
      <c r="A48" s="78"/>
      <c r="B48" s="78" t="s">
        <v>264</v>
      </c>
      <c r="C48" s="80">
        <f t="shared" si="4"/>
        <v>1250184.8751674581</v>
      </c>
      <c r="D48" s="80">
        <f t="shared" si="0"/>
        <v>13543.669480980796</v>
      </c>
      <c r="E48" s="80">
        <f t="shared" si="1"/>
        <v>21110.183310138636</v>
      </c>
      <c r="F48" s="80">
        <f t="shared" si="5"/>
        <v>34653.852791119432</v>
      </c>
      <c r="G48" s="80">
        <f t="shared" si="3"/>
        <v>1229074.6918573196</v>
      </c>
    </row>
    <row r="49" spans="1:9" ht="15.75" customHeight="1">
      <c r="A49" s="78"/>
      <c r="B49" s="78" t="s">
        <v>265</v>
      </c>
      <c r="C49" s="80">
        <f t="shared" si="4"/>
        <v>1229074.6918573196</v>
      </c>
      <c r="D49" s="80">
        <f t="shared" si="0"/>
        <v>13314.975828454297</v>
      </c>
      <c r="E49" s="80">
        <f t="shared" si="1"/>
        <v>21338.876962665134</v>
      </c>
      <c r="F49" s="80">
        <f t="shared" si="5"/>
        <v>34653.852791119432</v>
      </c>
      <c r="G49" s="80">
        <f t="shared" si="3"/>
        <v>1207735.8148946543</v>
      </c>
    </row>
    <row r="50" spans="1:9" ht="15.75" customHeight="1">
      <c r="A50" s="78"/>
      <c r="B50" s="78" t="s">
        <v>266</v>
      </c>
      <c r="C50" s="80">
        <f t="shared" si="4"/>
        <v>1207735.8148946543</v>
      </c>
      <c r="D50" s="80">
        <f t="shared" si="0"/>
        <v>13083.804661358756</v>
      </c>
      <c r="E50" s="80">
        <f t="shared" si="1"/>
        <v>21570.048129760675</v>
      </c>
      <c r="F50" s="80">
        <f t="shared" si="5"/>
        <v>34653.852791119432</v>
      </c>
      <c r="G50" s="80">
        <f t="shared" si="3"/>
        <v>1186165.7667648937</v>
      </c>
    </row>
    <row r="51" spans="1:9" ht="15.75" customHeight="1">
      <c r="A51" s="78"/>
      <c r="B51" s="78" t="s">
        <v>267</v>
      </c>
      <c r="C51" s="80">
        <f t="shared" si="4"/>
        <v>1186165.7667648937</v>
      </c>
      <c r="D51" s="80">
        <f t="shared" si="0"/>
        <v>12850.129139953015</v>
      </c>
      <c r="E51" s="80">
        <f t="shared" si="1"/>
        <v>21803.723651166416</v>
      </c>
      <c r="F51" s="80">
        <f t="shared" si="5"/>
        <v>34653.852791119432</v>
      </c>
      <c r="G51" s="80">
        <f t="shared" si="3"/>
        <v>1164362.0431137274</v>
      </c>
    </row>
    <row r="52" spans="1:9" ht="15.75" customHeight="1">
      <c r="A52" s="78"/>
      <c r="B52" s="78" t="s">
        <v>268</v>
      </c>
      <c r="C52" s="80">
        <f t="shared" si="4"/>
        <v>1164362.0431137274</v>
      </c>
      <c r="D52" s="80">
        <f t="shared" si="0"/>
        <v>12613.922133732047</v>
      </c>
      <c r="E52" s="80">
        <f t="shared" si="1"/>
        <v>22039.930657387384</v>
      </c>
      <c r="F52" s="80">
        <f t="shared" si="5"/>
        <v>34653.852791119432</v>
      </c>
      <c r="G52" s="80">
        <f t="shared" si="3"/>
        <v>1142322.1124563399</v>
      </c>
    </row>
    <row r="53" spans="1:9" ht="15.75" customHeight="1">
      <c r="A53" s="78"/>
      <c r="B53" s="78" t="s">
        <v>269</v>
      </c>
      <c r="C53" s="80">
        <f t="shared" si="4"/>
        <v>1142322.1124563399</v>
      </c>
      <c r="D53" s="80">
        <f t="shared" si="0"/>
        <v>12375.156218277016</v>
      </c>
      <c r="E53" s="80">
        <f t="shared" si="1"/>
        <v>22278.696572842418</v>
      </c>
      <c r="F53" s="80">
        <f t="shared" si="5"/>
        <v>34653.852791119432</v>
      </c>
      <c r="G53" s="80">
        <f t="shared" si="3"/>
        <v>1120043.4158834976</v>
      </c>
    </row>
    <row r="54" spans="1:9" ht="15.75" customHeight="1">
      <c r="A54" s="78"/>
      <c r="B54" s="78" t="s">
        <v>270</v>
      </c>
      <c r="C54" s="80">
        <f t="shared" si="4"/>
        <v>1120043.4158834976</v>
      </c>
      <c r="D54" s="80">
        <f t="shared" si="0"/>
        <v>12133.803672071224</v>
      </c>
      <c r="E54" s="80">
        <f t="shared" si="1"/>
        <v>22520.049119048206</v>
      </c>
      <c r="F54" s="80">
        <f t="shared" si="5"/>
        <v>34653.852791119432</v>
      </c>
      <c r="G54" s="80">
        <f t="shared" si="3"/>
        <v>1097523.3667644493</v>
      </c>
    </row>
    <row r="55" spans="1:9" ht="15.75" customHeight="1">
      <c r="A55" s="78"/>
      <c r="B55" s="78" t="s">
        <v>271</v>
      </c>
      <c r="C55" s="80">
        <f t="shared" si="4"/>
        <v>1097523.3667644493</v>
      </c>
      <c r="D55" s="80">
        <f t="shared" si="0"/>
        <v>11889.836473281533</v>
      </c>
      <c r="E55" s="80">
        <f t="shared" si="1"/>
        <v>22764.016317837901</v>
      </c>
      <c r="F55" s="80">
        <f t="shared" si="5"/>
        <v>34653.852791119432</v>
      </c>
      <c r="G55" s="80">
        <f t="shared" si="3"/>
        <v>1074759.3504466114</v>
      </c>
    </row>
    <row r="56" spans="1:9" ht="15.75" customHeight="1">
      <c r="A56" s="78"/>
      <c r="B56" s="78" t="s">
        <v>272</v>
      </c>
      <c r="C56" s="80">
        <f t="shared" si="4"/>
        <v>1074759.3504466114</v>
      </c>
      <c r="D56" s="80">
        <f t="shared" si="0"/>
        <v>11643.226296504958</v>
      </c>
      <c r="E56" s="80">
        <f t="shared" si="1"/>
        <v>23010.626494614473</v>
      </c>
      <c r="F56" s="80">
        <f t="shared" si="5"/>
        <v>34653.852791119432</v>
      </c>
      <c r="G56" s="80">
        <f t="shared" si="3"/>
        <v>1051748.723951997</v>
      </c>
    </row>
    <row r="57" spans="1:9" ht="15.75" customHeight="1">
      <c r="A57" s="78"/>
      <c r="B57" s="78" t="s">
        <v>273</v>
      </c>
      <c r="C57" s="80">
        <f t="shared" si="4"/>
        <v>1051748.723951997</v>
      </c>
      <c r="D57" s="80">
        <f t="shared" si="0"/>
        <v>11393.944509479968</v>
      </c>
      <c r="E57" s="80">
        <f t="shared" si="1"/>
        <v>23259.908281639466</v>
      </c>
      <c r="F57" s="80">
        <f t="shared" si="5"/>
        <v>34653.852791119432</v>
      </c>
      <c r="G57" s="80">
        <f t="shared" si="3"/>
        <v>1028488.8156703576</v>
      </c>
      <c r="H57" s="127"/>
      <c r="I57" s="127"/>
    </row>
    <row r="58" spans="1:9" ht="15.75" customHeight="1">
      <c r="A58" s="78" t="s">
        <v>274</v>
      </c>
      <c r="B58" s="78" t="s">
        <v>275</v>
      </c>
      <c r="C58" s="80">
        <f t="shared" si="4"/>
        <v>1028488.8156703576</v>
      </c>
      <c r="D58" s="80">
        <f t="shared" si="0"/>
        <v>11141.962169762206</v>
      </c>
      <c r="E58" s="80">
        <f t="shared" si="1"/>
        <v>23511.890621357226</v>
      </c>
      <c r="F58" s="80">
        <f t="shared" si="5"/>
        <v>34653.852791119432</v>
      </c>
      <c r="G58" s="80">
        <f t="shared" si="3"/>
        <v>1004976.9250490003</v>
      </c>
    </row>
    <row r="59" spans="1:9" ht="15.75" customHeight="1">
      <c r="A59" s="78"/>
      <c r="B59" s="78" t="s">
        <v>276</v>
      </c>
      <c r="C59" s="80">
        <f t="shared" si="4"/>
        <v>1004976.9250490003</v>
      </c>
      <c r="D59" s="80">
        <f t="shared" si="0"/>
        <v>10887.250021364171</v>
      </c>
      <c r="E59" s="80">
        <f t="shared" si="1"/>
        <v>23766.602769755264</v>
      </c>
      <c r="F59" s="80">
        <f t="shared" si="5"/>
        <v>34653.852791119432</v>
      </c>
      <c r="G59" s="80">
        <f t="shared" si="3"/>
        <v>981210.32227924501</v>
      </c>
    </row>
    <row r="60" spans="1:9" ht="15.75" customHeight="1">
      <c r="A60" s="78"/>
      <c r="B60" s="78" t="s">
        <v>277</v>
      </c>
      <c r="C60" s="80">
        <f t="shared" si="4"/>
        <v>981210.32227924501</v>
      </c>
      <c r="D60" s="80">
        <f t="shared" si="0"/>
        <v>10629.778491358487</v>
      </c>
      <c r="E60" s="80">
        <f t="shared" si="1"/>
        <v>24024.074299760945</v>
      </c>
      <c r="F60" s="80">
        <f t="shared" si="5"/>
        <v>34653.852791119432</v>
      </c>
      <c r="G60" s="80">
        <f t="shared" si="3"/>
        <v>957186.24797948403</v>
      </c>
    </row>
    <row r="61" spans="1:9" ht="15.75" customHeight="1">
      <c r="A61" s="78"/>
      <c r="B61" s="78" t="s">
        <v>278</v>
      </c>
      <c r="C61" s="80">
        <f t="shared" si="4"/>
        <v>957186.24797948403</v>
      </c>
      <c r="D61" s="80">
        <f t="shared" si="0"/>
        <v>10369.517686444411</v>
      </c>
      <c r="E61" s="80">
        <f t="shared" si="1"/>
        <v>24284.335104675021</v>
      </c>
      <c r="F61" s="80">
        <f t="shared" si="5"/>
        <v>34653.852791119432</v>
      </c>
      <c r="G61" s="80">
        <f t="shared" si="3"/>
        <v>932901.912874809</v>
      </c>
    </row>
    <row r="62" spans="1:9" ht="15.75" customHeight="1">
      <c r="A62" s="78"/>
      <c r="B62" s="78" t="s">
        <v>279</v>
      </c>
      <c r="C62" s="80">
        <f t="shared" si="4"/>
        <v>932901.912874809</v>
      </c>
      <c r="D62" s="80">
        <f t="shared" si="0"/>
        <v>10106.437389477098</v>
      </c>
      <c r="E62" s="80">
        <f t="shared" si="1"/>
        <v>24547.415401642334</v>
      </c>
      <c r="F62" s="80">
        <f t="shared" si="5"/>
        <v>34653.852791119432</v>
      </c>
      <c r="G62" s="80">
        <f t="shared" si="3"/>
        <v>908354.49747316667</v>
      </c>
    </row>
    <row r="63" spans="1:9" ht="15.75" customHeight="1">
      <c r="A63" s="78"/>
      <c r="B63" s="78" t="s">
        <v>280</v>
      </c>
      <c r="C63" s="80">
        <f t="shared" si="4"/>
        <v>908354.49747316667</v>
      </c>
      <c r="D63" s="80">
        <f t="shared" si="0"/>
        <v>9840.5070559593059</v>
      </c>
      <c r="E63" s="80">
        <f t="shared" si="1"/>
        <v>24813.345735160125</v>
      </c>
      <c r="F63" s="80">
        <f t="shared" si="5"/>
        <v>34653.852791119432</v>
      </c>
      <c r="G63" s="80">
        <f t="shared" si="3"/>
        <v>883541.15173800651</v>
      </c>
    </row>
    <row r="64" spans="1:9" ht="15.75" customHeight="1">
      <c r="A64" s="78"/>
      <c r="B64" s="78" t="s">
        <v>281</v>
      </c>
      <c r="C64" s="80">
        <f t="shared" si="4"/>
        <v>883541.15173800651</v>
      </c>
      <c r="D64" s="80">
        <f t="shared" si="0"/>
        <v>9571.69581049507</v>
      </c>
      <c r="E64" s="80">
        <f t="shared" si="1"/>
        <v>25082.156980624364</v>
      </c>
      <c r="F64" s="80">
        <f t="shared" si="5"/>
        <v>34653.852791119432</v>
      </c>
      <c r="G64" s="80">
        <f t="shared" si="3"/>
        <v>858458.9947573822</v>
      </c>
    </row>
    <row r="65" spans="1:9" ht="15.75" customHeight="1">
      <c r="A65" s="78"/>
      <c r="B65" s="78" t="s">
        <v>282</v>
      </c>
      <c r="C65" s="80">
        <f t="shared" si="4"/>
        <v>858458.9947573822</v>
      </c>
      <c r="D65" s="80">
        <f t="shared" si="0"/>
        <v>9299.9724432049752</v>
      </c>
      <c r="E65" s="80">
        <f t="shared" si="1"/>
        <v>25353.880347914455</v>
      </c>
      <c r="F65" s="80">
        <f t="shared" si="5"/>
        <v>34653.852791119432</v>
      </c>
      <c r="G65" s="80">
        <f t="shared" si="3"/>
        <v>833105.11440946779</v>
      </c>
    </row>
    <row r="66" spans="1:9" ht="15.75" customHeight="1">
      <c r="A66" s="78"/>
      <c r="B66" s="78" t="s">
        <v>283</v>
      </c>
      <c r="C66" s="80">
        <f t="shared" si="4"/>
        <v>833105.11440946779</v>
      </c>
      <c r="D66" s="80">
        <f t="shared" si="0"/>
        <v>9025.3054061025668</v>
      </c>
      <c r="E66" s="80">
        <f t="shared" si="1"/>
        <v>25628.547385016864</v>
      </c>
      <c r="F66" s="80">
        <f t="shared" si="5"/>
        <v>34653.852791119432</v>
      </c>
      <c r="G66" s="80">
        <f t="shared" si="3"/>
        <v>807476.56702445098</v>
      </c>
    </row>
    <row r="67" spans="1:9" ht="15.75" customHeight="1">
      <c r="A67" s="78"/>
      <c r="B67" s="78" t="s">
        <v>284</v>
      </c>
      <c r="C67" s="80">
        <f t="shared" si="4"/>
        <v>807476.56702445098</v>
      </c>
      <c r="D67" s="80">
        <f t="shared" si="0"/>
        <v>8747.6628094315529</v>
      </c>
      <c r="E67" s="80">
        <f t="shared" si="1"/>
        <v>25906.189981687879</v>
      </c>
      <c r="F67" s="80">
        <f t="shared" si="5"/>
        <v>34653.852791119432</v>
      </c>
      <c r="G67" s="80">
        <f t="shared" si="3"/>
        <v>781570.37704276305</v>
      </c>
    </row>
    <row r="68" spans="1:9" ht="15.75" customHeight="1">
      <c r="A68" s="78"/>
      <c r="B68" s="78" t="s">
        <v>285</v>
      </c>
      <c r="C68" s="80">
        <f t="shared" si="4"/>
        <v>781570.37704276305</v>
      </c>
      <c r="D68" s="80">
        <f t="shared" si="0"/>
        <v>8467.0124179632676</v>
      </c>
      <c r="E68" s="80">
        <f t="shared" si="1"/>
        <v>26186.840373156163</v>
      </c>
      <c r="F68" s="80">
        <f t="shared" si="5"/>
        <v>34653.852791119432</v>
      </c>
      <c r="G68" s="80">
        <f t="shared" si="3"/>
        <v>755383.53666960692</v>
      </c>
    </row>
    <row r="69" spans="1:9" ht="15.75" customHeight="1">
      <c r="A69" s="78"/>
      <c r="B69" s="78" t="s">
        <v>286</v>
      </c>
      <c r="C69" s="80">
        <f t="shared" si="4"/>
        <v>755383.53666960692</v>
      </c>
      <c r="D69" s="80">
        <f t="shared" si="0"/>
        <v>8183.3216472540762</v>
      </c>
      <c r="E69" s="80">
        <f t="shared" si="1"/>
        <v>26470.531143865355</v>
      </c>
      <c r="F69" s="80">
        <f t="shared" si="5"/>
        <v>34653.852791119432</v>
      </c>
      <c r="G69" s="80">
        <f t="shared" si="3"/>
        <v>728913.00552574161</v>
      </c>
      <c r="H69" s="127"/>
      <c r="I69" s="127"/>
    </row>
    <row r="70" spans="1:9" ht="15.75" customHeight="1">
      <c r="A70" s="78" t="s">
        <v>287</v>
      </c>
      <c r="B70" s="78" t="s">
        <v>288</v>
      </c>
      <c r="C70" s="80">
        <f t="shared" si="4"/>
        <v>728913.00552574161</v>
      </c>
      <c r="D70" s="80">
        <f t="shared" si="0"/>
        <v>7896.5575598622008</v>
      </c>
      <c r="E70" s="80">
        <f t="shared" si="1"/>
        <v>26757.295231257231</v>
      </c>
      <c r="F70" s="80">
        <f t="shared" si="5"/>
        <v>34653.852791119432</v>
      </c>
      <c r="G70" s="80">
        <f t="shared" si="3"/>
        <v>702155.71029448439</v>
      </c>
    </row>
    <row r="71" spans="1:9" ht="15.75" customHeight="1">
      <c r="A71" s="78"/>
      <c r="B71" s="78" t="s">
        <v>289</v>
      </c>
      <c r="C71" s="80">
        <f t="shared" si="4"/>
        <v>702155.71029448439</v>
      </c>
      <c r="D71" s="80">
        <f t="shared" si="0"/>
        <v>7606.6868615235808</v>
      </c>
      <c r="E71" s="80">
        <f t="shared" si="1"/>
        <v>27047.165929595853</v>
      </c>
      <c r="F71" s="80">
        <f t="shared" si="5"/>
        <v>34653.852791119432</v>
      </c>
      <c r="G71" s="80">
        <f t="shared" si="3"/>
        <v>675108.54436488857</v>
      </c>
    </row>
    <row r="72" spans="1:9" ht="15.75" customHeight="1">
      <c r="A72" s="78"/>
      <c r="B72" s="78" t="s">
        <v>290</v>
      </c>
      <c r="C72" s="80">
        <f t="shared" si="4"/>
        <v>675108.54436488857</v>
      </c>
      <c r="D72" s="80">
        <f t="shared" si="0"/>
        <v>7313.6758972862926</v>
      </c>
      <c r="E72" s="80">
        <f t="shared" si="1"/>
        <v>27340.176893833141</v>
      </c>
      <c r="F72" s="80">
        <f t="shared" si="5"/>
        <v>34653.852791119432</v>
      </c>
      <c r="G72" s="80">
        <f t="shared" si="3"/>
        <v>647768.36747105548</v>
      </c>
    </row>
    <row r="73" spans="1:9" ht="15.75" customHeight="1">
      <c r="A73" s="78"/>
      <c r="B73" s="78" t="s">
        <v>291</v>
      </c>
      <c r="C73" s="80">
        <f t="shared" si="4"/>
        <v>647768.36747105548</v>
      </c>
      <c r="D73" s="80">
        <f t="shared" si="0"/>
        <v>7017.4906476031019</v>
      </c>
      <c r="E73" s="80">
        <f t="shared" si="1"/>
        <v>27636.36214351633</v>
      </c>
      <c r="F73" s="80">
        <f t="shared" si="5"/>
        <v>34653.852791119432</v>
      </c>
      <c r="G73" s="80">
        <f t="shared" si="3"/>
        <v>620132.00532753917</v>
      </c>
    </row>
    <row r="74" spans="1:9" ht="15.75" customHeight="1">
      <c r="A74" s="78"/>
      <c r="B74" s="78" t="s">
        <v>292</v>
      </c>
      <c r="C74" s="80">
        <f t="shared" si="4"/>
        <v>620132.00532753917</v>
      </c>
      <c r="D74" s="80">
        <f t="shared" si="0"/>
        <v>6718.096724381674</v>
      </c>
      <c r="E74" s="80">
        <f t="shared" si="1"/>
        <v>27935.756066737758</v>
      </c>
      <c r="F74" s="80">
        <f t="shared" si="5"/>
        <v>34653.852791119432</v>
      </c>
      <c r="G74" s="80">
        <f t="shared" si="3"/>
        <v>592196.24926080136</v>
      </c>
    </row>
    <row r="75" spans="1:9" ht="15.75" customHeight="1">
      <c r="A75" s="78"/>
      <c r="B75" s="78" t="s">
        <v>293</v>
      </c>
      <c r="C75" s="80">
        <f t="shared" si="4"/>
        <v>592196.24926080136</v>
      </c>
      <c r="D75" s="80">
        <f t="shared" si="0"/>
        <v>6415.459366992015</v>
      </c>
      <c r="E75" s="80">
        <f t="shared" si="1"/>
        <v>28238.393424127418</v>
      </c>
      <c r="F75" s="80">
        <f t="shared" si="5"/>
        <v>34653.852791119432</v>
      </c>
      <c r="G75" s="80">
        <f t="shared" si="3"/>
        <v>563957.85583667399</v>
      </c>
    </row>
    <row r="76" spans="1:9" ht="15.75" customHeight="1">
      <c r="A76" s="78"/>
      <c r="B76" s="78" t="s">
        <v>294</v>
      </c>
      <c r="C76" s="80">
        <f t="shared" si="4"/>
        <v>563957.85583667399</v>
      </c>
      <c r="D76" s="80">
        <f t="shared" si="0"/>
        <v>6109.5434382306348</v>
      </c>
      <c r="E76" s="80">
        <f t="shared" si="1"/>
        <v>28544.309352888798</v>
      </c>
      <c r="F76" s="80">
        <f t="shared" si="5"/>
        <v>34653.852791119432</v>
      </c>
      <c r="G76" s="80">
        <f t="shared" si="3"/>
        <v>535413.54648378515</v>
      </c>
    </row>
    <row r="77" spans="1:9" ht="15.75" customHeight="1">
      <c r="A77" s="78"/>
      <c r="B77" s="78" t="s">
        <v>295</v>
      </c>
      <c r="C77" s="80">
        <f t="shared" si="4"/>
        <v>535413.54648378515</v>
      </c>
      <c r="D77" s="80">
        <f t="shared" si="0"/>
        <v>5800.3134202410065</v>
      </c>
      <c r="E77" s="80">
        <f t="shared" si="1"/>
        <v>28853.539370878425</v>
      </c>
      <c r="F77" s="80">
        <f t="shared" si="5"/>
        <v>34653.852791119432</v>
      </c>
      <c r="G77" s="80">
        <f t="shared" si="3"/>
        <v>506560.00711290672</v>
      </c>
    </row>
    <row r="78" spans="1:9" ht="15.75" customHeight="1">
      <c r="A78" s="78"/>
      <c r="B78" s="78" t="s">
        <v>296</v>
      </c>
      <c r="C78" s="80">
        <f t="shared" si="4"/>
        <v>506560.00711290672</v>
      </c>
      <c r="D78" s="80">
        <f t="shared" si="0"/>
        <v>5487.7334103898238</v>
      </c>
      <c r="E78" s="80">
        <f t="shared" si="1"/>
        <v>29166.119380729608</v>
      </c>
      <c r="F78" s="80">
        <f t="shared" si="5"/>
        <v>34653.852791119432</v>
      </c>
      <c r="G78" s="80">
        <f t="shared" si="3"/>
        <v>477393.8877321771</v>
      </c>
    </row>
    <row r="79" spans="1:9" ht="15.75" customHeight="1">
      <c r="A79" s="78"/>
      <c r="B79" s="78" t="s">
        <v>297</v>
      </c>
      <c r="C79" s="80">
        <f t="shared" si="4"/>
        <v>477393.8877321771</v>
      </c>
      <c r="D79" s="80">
        <f t="shared" si="0"/>
        <v>5171.7671170985859</v>
      </c>
      <c r="E79" s="80">
        <f t="shared" si="1"/>
        <v>29482.085674020847</v>
      </c>
      <c r="F79" s="80">
        <f t="shared" si="5"/>
        <v>34653.852791119432</v>
      </c>
      <c r="G79" s="80">
        <f t="shared" si="3"/>
        <v>447911.80205815623</v>
      </c>
    </row>
    <row r="80" spans="1:9" ht="15.75" customHeight="1">
      <c r="A80" s="78"/>
      <c r="B80" s="78" t="s">
        <v>298</v>
      </c>
      <c r="C80" s="80">
        <f t="shared" si="4"/>
        <v>447911.80205815623</v>
      </c>
      <c r="D80" s="80">
        <f t="shared" si="0"/>
        <v>4852.3778556300258</v>
      </c>
      <c r="E80" s="80">
        <f t="shared" si="1"/>
        <v>29801.474935489408</v>
      </c>
      <c r="F80" s="80">
        <f t="shared" si="5"/>
        <v>34653.852791119432</v>
      </c>
      <c r="G80" s="80">
        <f t="shared" si="3"/>
        <v>418110.32712266681</v>
      </c>
    </row>
    <row r="81" spans="1:9" ht="15.75" customHeight="1">
      <c r="A81" s="78"/>
      <c r="B81" s="78" t="s">
        <v>299</v>
      </c>
      <c r="C81" s="80">
        <f t="shared" si="4"/>
        <v>418110.32712266681</v>
      </c>
      <c r="D81" s="80">
        <f t="shared" si="0"/>
        <v>4529.5285438288911</v>
      </c>
      <c r="E81" s="80">
        <f t="shared" si="1"/>
        <v>30124.32424729054</v>
      </c>
      <c r="F81" s="80">
        <f t="shared" si="5"/>
        <v>34653.852791119432</v>
      </c>
      <c r="G81" s="80">
        <f t="shared" si="3"/>
        <v>387986.00287537626</v>
      </c>
      <c r="H81" s="127"/>
      <c r="I81" s="127"/>
    </row>
    <row r="82" spans="1:9" ht="15.75" customHeight="1">
      <c r="A82" s="78" t="s">
        <v>300</v>
      </c>
      <c r="B82" s="78" t="s">
        <v>301</v>
      </c>
      <c r="C82" s="80">
        <f t="shared" si="4"/>
        <v>387986.00287537626</v>
      </c>
      <c r="D82" s="80">
        <f t="shared" si="0"/>
        <v>4203.1816978165762</v>
      </c>
      <c r="E82" s="80">
        <f t="shared" si="1"/>
        <v>30450.671093302855</v>
      </c>
      <c r="F82" s="80">
        <f t="shared" si="5"/>
        <v>34653.852791119432</v>
      </c>
      <c r="G82" s="80">
        <f t="shared" si="3"/>
        <v>357535.33178207342</v>
      </c>
    </row>
    <row r="83" spans="1:9" ht="15.75" customHeight="1">
      <c r="A83" s="78"/>
      <c r="B83" s="78" t="s">
        <v>302</v>
      </c>
      <c r="C83" s="80">
        <f t="shared" si="4"/>
        <v>357535.33178207342</v>
      </c>
      <c r="D83" s="80">
        <f t="shared" si="0"/>
        <v>3873.2994276391291</v>
      </c>
      <c r="E83" s="80">
        <f t="shared" si="1"/>
        <v>30780.553363480303</v>
      </c>
      <c r="F83" s="80">
        <f t="shared" si="5"/>
        <v>34653.852791119432</v>
      </c>
      <c r="G83" s="80">
        <f t="shared" si="3"/>
        <v>326754.77841859311</v>
      </c>
    </row>
    <row r="84" spans="1:9" ht="15.75" customHeight="1">
      <c r="A84" s="78"/>
      <c r="B84" s="78" t="s">
        <v>303</v>
      </c>
      <c r="C84" s="80">
        <f t="shared" si="4"/>
        <v>326754.77841859311</v>
      </c>
      <c r="D84" s="80">
        <f t="shared" si="0"/>
        <v>3539.8434328680923</v>
      </c>
      <c r="E84" s="80">
        <f t="shared" si="1"/>
        <v>31114.00935825134</v>
      </c>
      <c r="F84" s="80">
        <f t="shared" si="5"/>
        <v>34653.852791119432</v>
      </c>
      <c r="G84" s="80">
        <f t="shared" si="3"/>
        <v>295640.76906034176</v>
      </c>
    </row>
    <row r="85" spans="1:9" ht="15.75" customHeight="1">
      <c r="A85" s="78"/>
      <c r="B85" s="78" t="s">
        <v>304</v>
      </c>
      <c r="C85" s="80">
        <f t="shared" si="4"/>
        <v>295640.76906034176</v>
      </c>
      <c r="D85" s="80">
        <f t="shared" si="0"/>
        <v>3202.7749981537022</v>
      </c>
      <c r="E85" s="80">
        <f t="shared" si="1"/>
        <v>31451.077792965731</v>
      </c>
      <c r="F85" s="80">
        <f t="shared" si="5"/>
        <v>34653.852791119432</v>
      </c>
      <c r="G85" s="80">
        <f t="shared" si="3"/>
        <v>264189.69126737601</v>
      </c>
    </row>
    <row r="86" spans="1:9" ht="15.75" customHeight="1">
      <c r="A86" s="78"/>
      <c r="B86" s="78" t="s">
        <v>305</v>
      </c>
      <c r="C86" s="80">
        <f t="shared" si="4"/>
        <v>264189.69126737601</v>
      </c>
      <c r="D86" s="80">
        <f t="shared" si="0"/>
        <v>2862.0549887299071</v>
      </c>
      <c r="E86" s="80">
        <f t="shared" si="1"/>
        <v>31791.797802389527</v>
      </c>
      <c r="F86" s="80">
        <f t="shared" si="5"/>
        <v>34653.852791119432</v>
      </c>
      <c r="G86" s="80">
        <f t="shared" si="3"/>
        <v>232397.89346498647</v>
      </c>
    </row>
    <row r="87" spans="1:9" ht="15.75" customHeight="1">
      <c r="A87" s="78"/>
      <c r="B87" s="78" t="s">
        <v>306</v>
      </c>
      <c r="C87" s="80">
        <f t="shared" si="4"/>
        <v>232397.89346498647</v>
      </c>
      <c r="D87" s="80">
        <f t="shared" si="0"/>
        <v>2517.6438458706866</v>
      </c>
      <c r="E87" s="80">
        <f t="shared" si="1"/>
        <v>32136.208945248745</v>
      </c>
      <c r="F87" s="80">
        <f t="shared" si="5"/>
        <v>34653.852791119432</v>
      </c>
      <c r="G87" s="80">
        <f t="shared" si="3"/>
        <v>200261.68451973773</v>
      </c>
    </row>
    <row r="88" spans="1:9" ht="15.75" customHeight="1">
      <c r="A88" s="78"/>
      <c r="B88" s="78" t="s">
        <v>307</v>
      </c>
      <c r="C88" s="80">
        <f t="shared" si="4"/>
        <v>200261.68451973773</v>
      </c>
      <c r="D88" s="80">
        <f t="shared" si="0"/>
        <v>2169.5015822971586</v>
      </c>
      <c r="E88" s="80">
        <f t="shared" si="1"/>
        <v>32484.351208822274</v>
      </c>
      <c r="F88" s="80">
        <f t="shared" si="5"/>
        <v>34653.852791119432</v>
      </c>
      <c r="G88" s="80">
        <f t="shared" si="3"/>
        <v>167777.33331091545</v>
      </c>
    </row>
    <row r="89" spans="1:9" ht="15.75" customHeight="1">
      <c r="A89" s="78"/>
      <c r="B89" s="78" t="s">
        <v>308</v>
      </c>
      <c r="C89" s="80">
        <f t="shared" si="4"/>
        <v>167777.33331091545</v>
      </c>
      <c r="D89" s="80">
        <f t="shared" si="0"/>
        <v>1817.5877775349174</v>
      </c>
      <c r="E89" s="80">
        <f t="shared" si="1"/>
        <v>32836.265013584518</v>
      </c>
      <c r="F89" s="80">
        <f t="shared" si="5"/>
        <v>34653.852791119432</v>
      </c>
      <c r="G89" s="80">
        <f t="shared" si="3"/>
        <v>134941.06829733093</v>
      </c>
    </row>
    <row r="90" spans="1:9" ht="15.75" customHeight="1">
      <c r="A90" s="78"/>
      <c r="B90" s="78" t="s">
        <v>309</v>
      </c>
      <c r="C90" s="80">
        <f t="shared" si="4"/>
        <v>134941.06829733093</v>
      </c>
      <c r="D90" s="80">
        <f t="shared" si="0"/>
        <v>1461.8615732210853</v>
      </c>
      <c r="E90" s="80">
        <f t="shared" si="1"/>
        <v>33191.99121789835</v>
      </c>
      <c r="F90" s="80">
        <f t="shared" si="5"/>
        <v>34653.852791119432</v>
      </c>
      <c r="G90" s="80">
        <f t="shared" si="3"/>
        <v>101749.07707943258</v>
      </c>
    </row>
    <row r="91" spans="1:9" ht="15.75" customHeight="1">
      <c r="A91" s="78"/>
      <c r="B91" s="78" t="s">
        <v>310</v>
      </c>
      <c r="C91" s="80">
        <f t="shared" si="4"/>
        <v>101749.07707943258</v>
      </c>
      <c r="D91" s="80">
        <f t="shared" si="0"/>
        <v>1102.2816683605197</v>
      </c>
      <c r="E91" s="80">
        <f t="shared" si="1"/>
        <v>33551.571122758913</v>
      </c>
      <c r="F91" s="80">
        <f t="shared" si="5"/>
        <v>34653.852791119432</v>
      </c>
      <c r="G91" s="80">
        <f t="shared" si="3"/>
        <v>68197.505956673675</v>
      </c>
    </row>
    <row r="92" spans="1:9" ht="15.75" customHeight="1">
      <c r="A92" s="78"/>
      <c r="B92" s="78" t="s">
        <v>311</v>
      </c>
      <c r="C92" s="80">
        <f t="shared" si="4"/>
        <v>68197.505956673675</v>
      </c>
      <c r="D92" s="80">
        <f t="shared" si="0"/>
        <v>738.80631453063143</v>
      </c>
      <c r="E92" s="80">
        <f t="shared" si="1"/>
        <v>33915.046476588803</v>
      </c>
      <c r="F92" s="80">
        <f t="shared" si="5"/>
        <v>34653.852791119432</v>
      </c>
      <c r="G92" s="80">
        <f t="shared" si="3"/>
        <v>34282.459480084872</v>
      </c>
    </row>
    <row r="93" spans="1:9" ht="15.75" customHeight="1">
      <c r="A93" s="78"/>
      <c r="B93" s="78" t="s">
        <v>312</v>
      </c>
      <c r="C93" s="80">
        <f t="shared" si="4"/>
        <v>34282.459480084872</v>
      </c>
      <c r="D93" s="80">
        <f t="shared" si="0"/>
        <v>371.3933110342528</v>
      </c>
      <c r="E93" s="80">
        <f t="shared" si="1"/>
        <v>34282.459480085177</v>
      </c>
      <c r="F93" s="80">
        <f t="shared" si="5"/>
        <v>34653.852791119432</v>
      </c>
      <c r="G93" s="80">
        <f t="shared" si="3"/>
        <v>-3.0559021979570389E-10</v>
      </c>
    </row>
    <row r="94" spans="1:9" ht="15.75" customHeight="1">
      <c r="A94" s="73"/>
      <c r="B94" s="73"/>
      <c r="C94" s="73"/>
      <c r="D94" s="128">
        <f t="shared" ref="D94:E94" si="6">SUM(D10:D93)</f>
        <v>1006024.6344540315</v>
      </c>
      <c r="E94" s="128">
        <f t="shared" si="6"/>
        <v>1904899.0000000012</v>
      </c>
      <c r="F94" s="73"/>
      <c r="G94" s="73"/>
    </row>
    <row r="95" spans="1:9" ht="39.75" customHeight="1">
      <c r="A95" s="413" t="s">
        <v>313</v>
      </c>
      <c r="B95" s="378"/>
      <c r="C95" s="378"/>
      <c r="D95" s="378"/>
      <c r="E95" s="378"/>
      <c r="F95" s="378"/>
      <c r="G95" s="378"/>
      <c r="H95" s="378"/>
    </row>
    <row r="96" spans="1:9" ht="15.75" customHeight="1">
      <c r="A96" t="s">
        <v>314</v>
      </c>
    </row>
    <row r="97" spans="1:2" ht="15.75" customHeight="1">
      <c r="A97">
        <v>1</v>
      </c>
      <c r="B97" t="s">
        <v>315</v>
      </c>
    </row>
    <row r="98" spans="1:2" ht="15.75" customHeight="1">
      <c r="A98">
        <v>2</v>
      </c>
      <c r="B98" t="s">
        <v>316</v>
      </c>
    </row>
    <row r="99" spans="1:2" ht="15.75" customHeight="1"/>
    <row r="100" spans="1:2" ht="15.75" customHeight="1"/>
  </sheetData>
  <mergeCells count="2">
    <mergeCell ref="A2:G2"/>
    <mergeCell ref="A95:H95"/>
  </mergeCells>
  <pageMargins left="0.7" right="0.7" top="0.75" bottom="0.75" header="0" footer="0"/>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00"/>
  <sheetViews>
    <sheetView workbookViewId="0">
      <selection activeCell="D16" sqref="D16"/>
    </sheetView>
  </sheetViews>
  <sheetFormatPr defaultColWidth="14.42578125" defaultRowHeight="15" customHeight="1"/>
  <cols>
    <col min="1" max="1" width="8.7109375" customWidth="1"/>
    <col min="2" max="2" width="7.5703125" customWidth="1"/>
    <col min="3" max="3" width="30.5703125" customWidth="1"/>
    <col min="4" max="4" width="16.85546875" customWidth="1"/>
    <col min="5" max="5" width="12.5703125" customWidth="1"/>
    <col min="6" max="6" width="16" customWidth="1"/>
    <col min="7" max="7" width="20.42578125" customWidth="1"/>
    <col min="8" max="8" width="23.140625" customWidth="1"/>
    <col min="9" max="9" width="26.85546875" customWidth="1"/>
    <col min="10" max="10" width="29.42578125" customWidth="1"/>
    <col min="11" max="11" width="32.140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2" spans="3:22" ht="18.75">
      <c r="C2" s="394" t="s">
        <v>317</v>
      </c>
      <c r="D2" s="378"/>
      <c r="E2" s="378"/>
      <c r="F2" s="378"/>
      <c r="G2" s="378"/>
      <c r="H2" s="378"/>
      <c r="I2" s="378"/>
      <c r="J2" s="378"/>
      <c r="K2" s="378"/>
      <c r="L2" s="129"/>
    </row>
    <row r="4" spans="3:22">
      <c r="C4" s="130" t="s">
        <v>150</v>
      </c>
      <c r="D4" s="130"/>
      <c r="E4" s="131" t="s">
        <v>153</v>
      </c>
      <c r="F4" s="131" t="s">
        <v>154</v>
      </c>
      <c r="G4" s="131" t="s">
        <v>155</v>
      </c>
      <c r="H4" s="131" t="s">
        <v>156</v>
      </c>
      <c r="I4" s="131" t="s">
        <v>157</v>
      </c>
      <c r="J4" s="131" t="s">
        <v>158</v>
      </c>
      <c r="K4" s="131" t="s">
        <v>159</v>
      </c>
      <c r="L4" s="73"/>
      <c r="M4" s="73"/>
      <c r="N4" s="132"/>
      <c r="O4" s="132"/>
      <c r="P4" s="132"/>
      <c r="Q4" s="132"/>
      <c r="R4" s="132"/>
      <c r="S4" s="132"/>
      <c r="T4" s="132"/>
      <c r="U4" s="132"/>
      <c r="V4" s="132"/>
    </row>
    <row r="5" spans="3:22">
      <c r="C5" s="78" t="s">
        <v>318</v>
      </c>
      <c r="D5" s="78"/>
      <c r="E5" s="78"/>
      <c r="F5" s="78"/>
      <c r="G5" s="78"/>
      <c r="H5" s="78"/>
      <c r="I5" s="78"/>
      <c r="J5" s="78"/>
      <c r="K5" s="78"/>
      <c r="L5" s="73"/>
      <c r="M5" s="73"/>
      <c r="N5" s="420" t="s">
        <v>319</v>
      </c>
      <c r="O5" s="403"/>
      <c r="P5" s="403"/>
      <c r="Q5" s="403"/>
      <c r="R5" s="404"/>
      <c r="S5" s="132"/>
      <c r="T5" s="132"/>
      <c r="U5" s="420" t="s">
        <v>320</v>
      </c>
      <c r="V5" s="404"/>
    </row>
    <row r="6" spans="3:22">
      <c r="C6" s="78" t="s">
        <v>321</v>
      </c>
      <c r="D6" s="133"/>
      <c r="E6" s="78"/>
      <c r="F6" s="80">
        <f t="shared" ref="F6:K6" si="0">E15</f>
        <v>0</v>
      </c>
      <c r="G6" s="80">
        <f t="shared" si="0"/>
        <v>0</v>
      </c>
      <c r="H6" s="80">
        <f t="shared" si="0"/>
        <v>0</v>
      </c>
      <c r="I6" s="80">
        <f t="shared" si="0"/>
        <v>0</v>
      </c>
      <c r="J6" s="80">
        <f t="shared" si="0"/>
        <v>0</v>
      </c>
      <c r="K6" s="80">
        <f t="shared" si="0"/>
        <v>0</v>
      </c>
      <c r="L6" s="73"/>
      <c r="M6" s="73"/>
      <c r="N6" s="419" t="s">
        <v>322</v>
      </c>
      <c r="O6" s="418"/>
      <c r="P6" s="418"/>
      <c r="Q6" s="418"/>
      <c r="R6" s="393"/>
      <c r="S6" s="132"/>
      <c r="T6" s="132"/>
      <c r="U6" s="419" t="s">
        <v>322</v>
      </c>
      <c r="V6" s="393"/>
    </row>
    <row r="7" spans="3:22">
      <c r="C7" s="78" t="s">
        <v>323</v>
      </c>
      <c r="D7" s="133"/>
      <c r="E7" s="78"/>
      <c r="F7" s="80">
        <f t="shared" ref="F7:K7" si="1">E16</f>
        <v>2148525</v>
      </c>
      <c r="G7" s="80">
        <f t="shared" si="1"/>
        <v>2255951.25</v>
      </c>
      <c r="H7" s="80">
        <f t="shared" si="1"/>
        <v>2368748.8125</v>
      </c>
      <c r="I7" s="80">
        <f t="shared" si="1"/>
        <v>2487186.2531250007</v>
      </c>
      <c r="J7" s="80">
        <f t="shared" si="1"/>
        <v>2611545.5657812506</v>
      </c>
      <c r="K7" s="80">
        <f t="shared" si="1"/>
        <v>2742122.8440703135</v>
      </c>
      <c r="L7" s="73"/>
      <c r="M7" s="73"/>
      <c r="N7" s="134" t="s">
        <v>150</v>
      </c>
      <c r="O7" s="134" t="s">
        <v>324</v>
      </c>
      <c r="P7" s="134" t="s">
        <v>325</v>
      </c>
      <c r="Q7" s="134" t="s">
        <v>326</v>
      </c>
      <c r="R7" s="134" t="s">
        <v>327</v>
      </c>
      <c r="S7" s="132"/>
      <c r="T7" s="132"/>
      <c r="U7" s="135" t="s">
        <v>150</v>
      </c>
      <c r="V7" s="135" t="s">
        <v>328</v>
      </c>
    </row>
    <row r="8" spans="3:22">
      <c r="C8" s="78" t="s">
        <v>329</v>
      </c>
      <c r="D8" s="133"/>
      <c r="E8" s="78"/>
      <c r="F8" s="80">
        <f t="shared" ref="F8:K8" si="2">E17</f>
        <v>5074940.9523809524</v>
      </c>
      <c r="G8" s="80">
        <f t="shared" si="2"/>
        <v>6223317.5</v>
      </c>
      <c r="H8" s="80">
        <f>G17</f>
        <v>6534483.375</v>
      </c>
      <c r="I8" s="80">
        <f t="shared" si="2"/>
        <v>6861207.543750002</v>
      </c>
      <c r="J8" s="80">
        <f t="shared" si="2"/>
        <v>7204267.9209375009</v>
      </c>
      <c r="K8" s="80">
        <f t="shared" si="2"/>
        <v>7564481.3169843769</v>
      </c>
      <c r="L8" s="73"/>
      <c r="M8" s="73"/>
      <c r="N8" s="136" t="s">
        <v>330</v>
      </c>
      <c r="O8" s="137">
        <f>'13.Facility 2 Grain Processing'!C152</f>
        <v>3600</v>
      </c>
      <c r="P8" s="137">
        <f>'13.Facility 2 Grain Processing'!C153</f>
        <v>6350</v>
      </c>
      <c r="Q8" s="137">
        <f>'13.Facility 2 Grain Processing'!C154</f>
        <v>0</v>
      </c>
      <c r="R8" s="137">
        <f>'13.Facility 2 Grain Processing'!C155</f>
        <v>0</v>
      </c>
      <c r="S8" s="132"/>
      <c r="T8" s="132"/>
      <c r="U8" s="136" t="s">
        <v>331</v>
      </c>
      <c r="V8" s="137">
        <f>'17.Facility 6 Horti Processing '!C163</f>
        <v>0</v>
      </c>
    </row>
    <row r="9" spans="3:22">
      <c r="C9" s="78" t="str">
        <f>C18</f>
        <v xml:space="preserve">Horticulture Processing </v>
      </c>
      <c r="D9" s="78"/>
      <c r="E9" s="78"/>
      <c r="F9" s="80">
        <f t="shared" ref="F9:K9" si="3">E18</f>
        <v>0</v>
      </c>
      <c r="G9" s="80">
        <f t="shared" si="3"/>
        <v>0</v>
      </c>
      <c r="H9" s="80">
        <f t="shared" si="3"/>
        <v>0</v>
      </c>
      <c r="I9" s="80">
        <f t="shared" si="3"/>
        <v>0</v>
      </c>
      <c r="J9" s="80">
        <f t="shared" si="3"/>
        <v>0</v>
      </c>
      <c r="K9" s="80">
        <f t="shared" si="3"/>
        <v>0</v>
      </c>
      <c r="L9" s="73"/>
      <c r="M9" s="73"/>
      <c r="N9" s="136" t="str">
        <f>'13.Facility 2 Grain Processing'!A156</f>
        <v>Oil (Liters)</v>
      </c>
      <c r="O9" s="136">
        <f>('13.Facility 2 Grain Processing'!B156*'13.Facility 2 Grain Processing'!C156/1000)*100</f>
        <v>0</v>
      </c>
      <c r="P9" s="136">
        <f t="shared" ref="P9:R9" si="4">O9</f>
        <v>0</v>
      </c>
      <c r="Q9" s="136">
        <f t="shared" si="4"/>
        <v>0</v>
      </c>
      <c r="R9" s="136">
        <f t="shared" si="4"/>
        <v>0</v>
      </c>
      <c r="S9" s="132"/>
      <c r="T9" s="132"/>
      <c r="U9" s="136" t="str">
        <f>'17.Facility 6 Horti Processing '!A164</f>
        <v>Other Consumbales</v>
      </c>
      <c r="V9" s="138">
        <f>'17.Facility 6 Horti Processing '!C164</f>
        <v>0</v>
      </c>
    </row>
    <row r="10" spans="3:22">
      <c r="C10" s="78"/>
      <c r="D10" s="78"/>
      <c r="E10" s="78"/>
      <c r="F10" s="80"/>
      <c r="G10" s="80"/>
      <c r="H10" s="80"/>
      <c r="I10" s="80"/>
      <c r="J10" s="80"/>
      <c r="K10" s="80"/>
      <c r="L10" s="73"/>
      <c r="M10" s="73"/>
      <c r="N10" s="136" t="str">
        <f>'13.Facility 2 Grain Processing'!A157</f>
        <v xml:space="preserve">Daily Labour </v>
      </c>
      <c r="O10" s="139">
        <f>('13.Facility 2 Grain Processing'!B157*'13.Facility 2 Grain Processing'!C157)/('13.Facility 2 Grain Processing'!B5*'13.Facility 2 Grain Processing'!B6)</f>
        <v>15.238095238095237</v>
      </c>
      <c r="P10" s="139">
        <f t="shared" ref="P10:R10" si="5">O10</f>
        <v>15.238095238095237</v>
      </c>
      <c r="Q10" s="139">
        <f t="shared" si="5"/>
        <v>15.238095238095237</v>
      </c>
      <c r="R10" s="139">
        <f t="shared" si="5"/>
        <v>15.238095238095237</v>
      </c>
      <c r="S10" s="132"/>
      <c r="T10" s="132"/>
      <c r="U10" s="136" t="str">
        <f>'17.Facility 6 Horti Processing '!A165</f>
        <v xml:space="preserve">Daily Labour </v>
      </c>
      <c r="V10" s="138">
        <f>'17.Facility 6 Horti Processing '!B165*'17.Facility 6 Horti Processing '!C165/('17.Facility 6 Horti Processing '!B5*'17.Facility 6 Horti Processing '!B6)</f>
        <v>0</v>
      </c>
    </row>
    <row r="11" spans="3:22">
      <c r="C11" s="78"/>
      <c r="D11" s="78"/>
      <c r="E11" s="78"/>
      <c r="F11" s="80"/>
      <c r="G11" s="80"/>
      <c r="H11" s="80"/>
      <c r="I11" s="80"/>
      <c r="J11" s="80"/>
      <c r="K11" s="80"/>
      <c r="L11" s="73"/>
      <c r="M11" s="73"/>
      <c r="N11" s="136" t="str">
        <f>'13.Facility 2 Grain Processing'!A158</f>
        <v>Electricity Charges</v>
      </c>
      <c r="O11" s="139">
        <f>('13.Facility 2 Grain Processing'!B158*'13.Facility 2 Grain Processing'!C158)/('13.Facility 2 Grain Processing'!B5*'13.Facility 2 Grain Processing'!B6)</f>
        <v>9.5238095238095237</v>
      </c>
      <c r="P11" s="139">
        <f t="shared" ref="P11:R11" si="6">O11</f>
        <v>9.5238095238095237</v>
      </c>
      <c r="Q11" s="139">
        <f t="shared" si="6"/>
        <v>9.5238095238095237</v>
      </c>
      <c r="R11" s="139">
        <f t="shared" si="6"/>
        <v>9.5238095238095237</v>
      </c>
      <c r="S11" s="132"/>
      <c r="T11" s="132"/>
      <c r="U11" s="136" t="str">
        <f>'17.Facility 6 Horti Processing '!A166</f>
        <v>Electricity Charges</v>
      </c>
      <c r="V11" s="136">
        <f>'17.Facility 6 Horti Processing '!B166*'17.Facility 6 Horti Processing '!C166/('17.Facility 6 Horti Processing '!B5*'17.Facility 6 Horti Processing '!B6)</f>
        <v>0</v>
      </c>
    </row>
    <row r="12" spans="3:22">
      <c r="C12" s="78" t="s">
        <v>87</v>
      </c>
      <c r="D12" s="78"/>
      <c r="E12" s="80"/>
      <c r="F12" s="80">
        <f t="shared" ref="F12:K12" si="7">SUM(F6:F11)</f>
        <v>7223465.9523809524</v>
      </c>
      <c r="G12" s="80">
        <f t="shared" si="7"/>
        <v>8479268.75</v>
      </c>
      <c r="H12" s="80">
        <f t="shared" si="7"/>
        <v>8903232.1875</v>
      </c>
      <c r="I12" s="80">
        <f t="shared" si="7"/>
        <v>9348393.7968750037</v>
      </c>
      <c r="J12" s="80">
        <f t="shared" si="7"/>
        <v>9815813.4867187515</v>
      </c>
      <c r="K12" s="80">
        <f t="shared" si="7"/>
        <v>10306604.161054689</v>
      </c>
      <c r="L12" s="73"/>
      <c r="M12" s="73"/>
      <c r="N12" s="136" t="str">
        <f>'13.Facility 2 Grain Processing'!A159</f>
        <v>Loading/Unloading Charges</v>
      </c>
      <c r="O12" s="136">
        <f>'13.Facility 2 Grain Processing'!C159*2</f>
        <v>20</v>
      </c>
      <c r="P12" s="136">
        <f t="shared" ref="P12:R12" si="8">O12</f>
        <v>20</v>
      </c>
      <c r="Q12" s="136">
        <f t="shared" si="8"/>
        <v>20</v>
      </c>
      <c r="R12" s="136">
        <f t="shared" si="8"/>
        <v>20</v>
      </c>
      <c r="S12" s="132"/>
      <c r="T12" s="132"/>
      <c r="U12" s="136" t="str">
        <f>'17.Facility 6 Horti Processing '!A167</f>
        <v>Loading/Unloading Charges</v>
      </c>
      <c r="V12" s="136">
        <f>'17.Facility 6 Horti Processing '!C167</f>
        <v>0</v>
      </c>
    </row>
    <row r="13" spans="3:22">
      <c r="C13" s="78"/>
      <c r="D13" s="78"/>
      <c r="E13" s="78"/>
      <c r="F13" s="80"/>
      <c r="G13" s="80"/>
      <c r="H13" s="80"/>
      <c r="I13" s="80"/>
      <c r="J13" s="80"/>
      <c r="K13" s="80"/>
      <c r="L13" s="73"/>
      <c r="M13" s="73"/>
      <c r="N13" s="136" t="str">
        <f>'13.Facility 2 Grain Processing'!A160</f>
        <v>packaging Exp</v>
      </c>
      <c r="O13" s="136">
        <f>'13.Facility 2 Grain Processing'!C160*2</f>
        <v>280</v>
      </c>
      <c r="P13" s="136">
        <f t="shared" ref="P13:R13" si="9">O13</f>
        <v>280</v>
      </c>
      <c r="Q13" s="136">
        <f t="shared" si="9"/>
        <v>280</v>
      </c>
      <c r="R13" s="136">
        <f t="shared" si="9"/>
        <v>280</v>
      </c>
      <c r="S13" s="132"/>
      <c r="T13" s="132"/>
      <c r="U13" s="136" t="str">
        <f>'17.Facility 6 Horti Processing '!A168</f>
        <v>packaging Exp</v>
      </c>
      <c r="V13" s="140">
        <f>'17.Facility 6 Horti Processing '!C168*100</f>
        <v>0</v>
      </c>
    </row>
    <row r="14" spans="3:22">
      <c r="C14" s="81" t="s">
        <v>332</v>
      </c>
      <c r="D14" s="78"/>
      <c r="E14" s="78"/>
      <c r="F14" s="80"/>
      <c r="G14" s="80"/>
      <c r="H14" s="80"/>
      <c r="I14" s="80"/>
      <c r="J14" s="80"/>
      <c r="K14" s="80"/>
      <c r="L14" s="73"/>
      <c r="M14" s="73"/>
      <c r="N14" s="136"/>
      <c r="O14" s="140"/>
      <c r="P14" s="140"/>
      <c r="Q14" s="140"/>
      <c r="R14" s="140"/>
      <c r="S14" s="132"/>
      <c r="T14" s="132"/>
      <c r="U14" s="140"/>
      <c r="V14" s="140"/>
    </row>
    <row r="15" spans="3:22">
      <c r="C15" s="78" t="str">
        <f t="shared" ref="C15:C17" si="10">C6</f>
        <v>Agri Input</v>
      </c>
      <c r="D15" s="141"/>
      <c r="E15" s="80">
        <f>SUM('16.Facility 5 Agri Input'!D197:D252)*$D$15</f>
        <v>0</v>
      </c>
      <c r="F15" s="80">
        <f>SUM('16.Facility 5 Agri Input'!E197:E252)*$D$15</f>
        <v>0</v>
      </c>
      <c r="G15" s="80">
        <f>SUM('16.Facility 5 Agri Input'!F197:F252)*$D$15</f>
        <v>0</v>
      </c>
      <c r="H15" s="80">
        <f>SUM('16.Facility 5 Agri Input'!G197:G252)*$D$15</f>
        <v>0</v>
      </c>
      <c r="I15" s="80">
        <f>SUM('16.Facility 5 Agri Input'!H197:H252)*$D$15</f>
        <v>0</v>
      </c>
      <c r="J15" s="80">
        <f>SUM('16.Facility 5 Agri Input'!I197:I252)*$D$15</f>
        <v>0</v>
      </c>
      <c r="K15" s="80">
        <f>SUM('16.Facility 5 Agri Input'!J197:J252)*$D$15</f>
        <v>0</v>
      </c>
      <c r="L15" s="73"/>
      <c r="M15" s="73"/>
      <c r="N15" s="140"/>
      <c r="O15" s="140"/>
      <c r="P15" s="140"/>
      <c r="Q15" s="140"/>
      <c r="R15" s="140"/>
      <c r="U15" s="140"/>
      <c r="V15" s="140"/>
    </row>
    <row r="16" spans="3:22">
      <c r="C16" s="78" t="str">
        <f t="shared" si="10"/>
        <v>Trading</v>
      </c>
      <c r="D16" s="141">
        <v>4.4999999999999998E-2</v>
      </c>
      <c r="E16" s="80">
        <f>SUM('12.Facility 1 - Trading'!D233:D284)*$D$16</f>
        <v>2148525</v>
      </c>
      <c r="F16" s="80">
        <f>SUM('12.Facility 1 - Trading'!E233:E284)*$D$16</f>
        <v>2255951.25</v>
      </c>
      <c r="G16" s="80">
        <f>SUM('12.Facility 1 - Trading'!F233:F284)*$D$16</f>
        <v>2368748.8125</v>
      </c>
      <c r="H16" s="80">
        <f>SUM('12.Facility 1 - Trading'!G233:G284)*$D$16</f>
        <v>2487186.2531250007</v>
      </c>
      <c r="I16" s="80">
        <f>SUM('12.Facility 1 - Trading'!H233:H284)*$D$16</f>
        <v>2611545.5657812506</v>
      </c>
      <c r="J16" s="80">
        <f>SUM('12.Facility 1 - Trading'!I233:I284)*$D$16</f>
        <v>2742122.8440703135</v>
      </c>
      <c r="K16" s="80">
        <f>SUM('12.Facility 1 - Trading'!J233:J284)*$D$16</f>
        <v>2879228.9862738289</v>
      </c>
      <c r="L16" s="73"/>
      <c r="M16" s="73"/>
      <c r="N16" s="134" t="s">
        <v>333</v>
      </c>
      <c r="O16" s="142">
        <f t="shared" ref="O16:R16" si="11">SUM(O8:O13)</f>
        <v>3924.761904761905</v>
      </c>
      <c r="P16" s="142">
        <f t="shared" si="11"/>
        <v>6674.7619047619046</v>
      </c>
      <c r="Q16" s="142">
        <f t="shared" si="11"/>
        <v>324.76190476190476</v>
      </c>
      <c r="R16" s="142">
        <f t="shared" si="11"/>
        <v>324.76190476190476</v>
      </c>
      <c r="U16" s="134" t="s">
        <v>87</v>
      </c>
      <c r="V16" s="142">
        <f>SUM(V8:V15)</f>
        <v>0</v>
      </c>
    </row>
    <row r="17" spans="1:18">
      <c r="C17" s="78" t="str">
        <f t="shared" si="10"/>
        <v xml:space="preserve">Grain Processing </v>
      </c>
      <c r="D17" s="141">
        <v>0.05</v>
      </c>
      <c r="E17" s="80">
        <f>SUM('13.Facility 2 Grain Processing'!D152:D160)*$D$17</f>
        <v>5074940.9523809524</v>
      </c>
      <c r="F17" s="80">
        <f>SUM('13.Facility 2 Grain Processing'!E152:E160)*$D$17</f>
        <v>6223317.5</v>
      </c>
      <c r="G17" s="80">
        <f>SUM('13.Facility 2 Grain Processing'!F152:F160)*$D$17</f>
        <v>6534483.375</v>
      </c>
      <c r="H17" s="80">
        <f>SUM('13.Facility 2 Grain Processing'!G152:G160)*$D$17</f>
        <v>6861207.543750002</v>
      </c>
      <c r="I17" s="80">
        <f>SUM('13.Facility 2 Grain Processing'!H152:H160)*$D$17</f>
        <v>7204267.9209375009</v>
      </c>
      <c r="J17" s="80">
        <f>SUM('13.Facility 2 Grain Processing'!I152:I160)*$D$17</f>
        <v>7564481.3169843769</v>
      </c>
      <c r="K17" s="80">
        <f>SUM('13.Facility 2 Grain Processing'!J152:J160)*$D$17</f>
        <v>7942705.3828335963</v>
      </c>
      <c r="L17" s="73"/>
      <c r="M17" s="73"/>
    </row>
    <row r="18" spans="1:18">
      <c r="C18" s="78" t="s">
        <v>334</v>
      </c>
      <c r="D18" s="141">
        <v>0.05</v>
      </c>
      <c r="E18" s="80">
        <f>SUM('17.Facility 6 Horti Processing '!D163:D168)*$D$18</f>
        <v>0</v>
      </c>
      <c r="F18" s="80">
        <f>SUM('17.Facility 6 Horti Processing '!E163:E168)*$D$18</f>
        <v>0</v>
      </c>
      <c r="G18" s="80">
        <f>SUM('17.Facility 6 Horti Processing '!F163:F168)*$D$18</f>
        <v>0</v>
      </c>
      <c r="H18" s="80">
        <f>SUM('17.Facility 6 Horti Processing '!G163:G168)*$D$18</f>
        <v>0</v>
      </c>
      <c r="I18" s="80">
        <f>SUM('17.Facility 6 Horti Processing '!H163:H168)*$D$18</f>
        <v>0</v>
      </c>
      <c r="J18" s="80">
        <f>SUM('17.Facility 6 Horti Processing '!I163:I168)*$D$18</f>
        <v>0</v>
      </c>
      <c r="K18" s="80">
        <f>SUM('17.Facility 6 Horti Processing '!J163:J168)*$D$18</f>
        <v>0</v>
      </c>
      <c r="L18" s="73"/>
      <c r="M18" s="73"/>
    </row>
    <row r="19" spans="1:18">
      <c r="C19" s="78"/>
      <c r="D19" s="143"/>
      <c r="E19" s="80"/>
      <c r="F19" s="80"/>
      <c r="G19" s="80"/>
      <c r="H19" s="80"/>
      <c r="I19" s="80"/>
      <c r="J19" s="80"/>
      <c r="K19" s="80"/>
      <c r="L19" s="73"/>
      <c r="M19" s="73"/>
    </row>
    <row r="20" spans="1:18">
      <c r="C20" s="78"/>
      <c r="D20" s="78"/>
      <c r="E20" s="78"/>
      <c r="F20" s="80"/>
      <c r="G20" s="80"/>
      <c r="H20" s="80"/>
      <c r="I20" s="80"/>
      <c r="J20" s="80"/>
      <c r="K20" s="80"/>
      <c r="L20" s="73"/>
      <c r="M20" s="73"/>
    </row>
    <row r="21" spans="1:18" ht="15.75" customHeight="1">
      <c r="C21" s="78" t="s">
        <v>87</v>
      </c>
      <c r="D21" s="78"/>
      <c r="E21" s="80">
        <f t="shared" ref="E21:K21" si="12">SUM(E15:E20)</f>
        <v>7223465.9523809524</v>
      </c>
      <c r="F21" s="80">
        <f t="shared" si="12"/>
        <v>8479268.75</v>
      </c>
      <c r="G21" s="80">
        <f t="shared" si="12"/>
        <v>8903232.1875</v>
      </c>
      <c r="H21" s="80">
        <f t="shared" si="12"/>
        <v>9348393.7968750037</v>
      </c>
      <c r="I21" s="80">
        <f t="shared" si="12"/>
        <v>9815813.4867187515</v>
      </c>
      <c r="J21" s="80">
        <f t="shared" si="12"/>
        <v>10306604.161054689</v>
      </c>
      <c r="K21" s="80">
        <f t="shared" si="12"/>
        <v>10821934.369107425</v>
      </c>
      <c r="L21" s="73"/>
      <c r="M21" s="73"/>
    </row>
    <row r="22" spans="1:18" ht="15.75" customHeight="1">
      <c r="C22" s="73"/>
      <c r="D22" s="73"/>
      <c r="E22" s="73"/>
      <c r="F22" s="73"/>
      <c r="G22" s="73"/>
      <c r="H22" s="73"/>
      <c r="I22" s="73"/>
      <c r="J22" s="73"/>
      <c r="K22" s="73"/>
      <c r="L22" s="73"/>
      <c r="M22" s="73"/>
    </row>
    <row r="23" spans="1:18" ht="40.5" customHeight="1">
      <c r="A23" s="400" t="s">
        <v>335</v>
      </c>
      <c r="B23" s="378"/>
      <c r="C23" s="378"/>
      <c r="D23" s="378"/>
      <c r="E23" s="378"/>
      <c r="F23" s="378"/>
      <c r="G23" s="378"/>
      <c r="H23" s="378"/>
      <c r="I23" s="378"/>
      <c r="J23" s="378"/>
      <c r="K23" s="378"/>
      <c r="L23" s="144"/>
      <c r="M23" s="144"/>
      <c r="N23" s="144"/>
      <c r="O23" s="145"/>
      <c r="P23" s="145"/>
      <c r="Q23" s="145"/>
      <c r="R23" s="145"/>
    </row>
    <row r="24" spans="1:18" ht="15.75" customHeight="1">
      <c r="A24" t="s">
        <v>314</v>
      </c>
    </row>
    <row r="25" spans="1:18" ht="15.75" customHeight="1">
      <c r="A25">
        <v>1</v>
      </c>
      <c r="B25" t="s">
        <v>336</v>
      </c>
    </row>
    <row r="26" spans="1:18" ht="15.75" customHeight="1"/>
    <row r="27" spans="1:18" ht="15.75" customHeight="1"/>
    <row r="28" spans="1:18" ht="15.75" customHeight="1">
      <c r="B28" s="394" t="s">
        <v>337</v>
      </c>
      <c r="C28" s="378"/>
      <c r="D28" s="378"/>
      <c r="E28" s="378"/>
      <c r="F28" s="378"/>
      <c r="G28" s="378"/>
      <c r="H28" s="378"/>
      <c r="I28" s="378"/>
      <c r="J28" s="378"/>
      <c r="K28" s="378"/>
    </row>
    <row r="29" spans="1:18" ht="15.75" customHeight="1"/>
    <row r="30" spans="1:18" ht="15.75" customHeight="1">
      <c r="B30" s="415" t="s">
        <v>81</v>
      </c>
      <c r="C30" s="415" t="s">
        <v>150</v>
      </c>
      <c r="D30" s="416" t="s">
        <v>338</v>
      </c>
      <c r="E30" s="417" t="s">
        <v>83</v>
      </c>
      <c r="F30" s="418"/>
      <c r="G30" s="418"/>
      <c r="H30" s="418"/>
      <c r="I30" s="418"/>
      <c r="J30" s="418"/>
      <c r="K30" s="393"/>
    </row>
    <row r="31" spans="1:18" ht="15.75" customHeight="1">
      <c r="B31" s="388"/>
      <c r="C31" s="388"/>
      <c r="D31" s="388"/>
      <c r="E31" s="38" t="s">
        <v>153</v>
      </c>
      <c r="F31" s="38" t="s">
        <v>154</v>
      </c>
      <c r="G31" s="38" t="s">
        <v>155</v>
      </c>
      <c r="H31" s="38" t="s">
        <v>156</v>
      </c>
      <c r="I31" s="38" t="s">
        <v>157</v>
      </c>
      <c r="J31" s="38" t="s">
        <v>158</v>
      </c>
      <c r="K31" s="38" t="s">
        <v>159</v>
      </c>
    </row>
    <row r="32" spans="1:18" ht="15.75" customHeight="1">
      <c r="B32" s="146"/>
      <c r="C32" s="147"/>
      <c r="D32" s="147"/>
      <c r="E32" s="148"/>
      <c r="F32" s="148"/>
      <c r="G32" s="148"/>
      <c r="H32" s="148"/>
      <c r="I32" s="148"/>
      <c r="J32" s="148"/>
      <c r="K32" s="148"/>
    </row>
    <row r="33" spans="2:11" ht="15.75" customHeight="1">
      <c r="B33" s="149" t="s">
        <v>19</v>
      </c>
      <c r="C33" s="150" t="s">
        <v>339</v>
      </c>
      <c r="D33" s="52"/>
      <c r="E33" s="151"/>
      <c r="F33" s="151"/>
      <c r="G33" s="151"/>
      <c r="H33" s="151"/>
      <c r="I33" s="151"/>
      <c r="J33" s="151"/>
      <c r="K33" s="151"/>
    </row>
    <row r="34" spans="2:11" ht="15.75" customHeight="1">
      <c r="B34" s="152">
        <v>1</v>
      </c>
      <c r="C34" s="153" t="s">
        <v>321</v>
      </c>
      <c r="D34" s="52">
        <v>14</v>
      </c>
      <c r="E34" s="151">
        <f>('16.Facility 5 Agri Input'!D191/365)*$D$34</f>
        <v>0</v>
      </c>
      <c r="F34" s="151">
        <f>('16.Facility 5 Agri Input'!E191/365)*$D$34</f>
        <v>0</v>
      </c>
      <c r="G34" s="151">
        <f>('16.Facility 5 Agri Input'!F191/365)*$D$34</f>
        <v>0</v>
      </c>
      <c r="H34" s="151">
        <f>('16.Facility 5 Agri Input'!G191/365)*$D$34</f>
        <v>0</v>
      </c>
      <c r="I34" s="151">
        <f>('16.Facility 5 Agri Input'!H191/365)*$D$34</f>
        <v>0</v>
      </c>
      <c r="J34" s="151">
        <f>('16.Facility 5 Agri Input'!I191/365)*$D$34</f>
        <v>0</v>
      </c>
      <c r="K34" s="151">
        <f>('16.Facility 5 Agri Input'!J191/365)*$D$34</f>
        <v>0</v>
      </c>
    </row>
    <row r="35" spans="2:11" ht="15.75" customHeight="1">
      <c r="B35" s="152">
        <v>2</v>
      </c>
      <c r="C35" s="153" t="s">
        <v>133</v>
      </c>
      <c r="D35" s="52">
        <v>14</v>
      </c>
      <c r="E35" s="151">
        <f>('15. Facility 4 Custom Hiring'!E39/365)*$D$35</f>
        <v>0</v>
      </c>
      <c r="F35" s="151">
        <f>('15. Facility 4 Custom Hiring'!F39/365)*$D$35</f>
        <v>0</v>
      </c>
      <c r="G35" s="151">
        <f>('15. Facility 4 Custom Hiring'!G39/365)*$D$35</f>
        <v>0</v>
      </c>
      <c r="H35" s="151">
        <f>('15. Facility 4 Custom Hiring'!H39/365)*$D$35</f>
        <v>0</v>
      </c>
      <c r="I35" s="151">
        <f>('15. Facility 4 Custom Hiring'!I39/365)*$D$35</f>
        <v>0</v>
      </c>
      <c r="J35" s="151">
        <f>('15. Facility 4 Custom Hiring'!J39/365)*$D$35</f>
        <v>0</v>
      </c>
      <c r="K35" s="151">
        <f>('15. Facility 4 Custom Hiring'!K39/365)*$D$35</f>
        <v>0</v>
      </c>
    </row>
    <row r="36" spans="2:11" ht="15.75" customHeight="1">
      <c r="B36" s="152">
        <v>3</v>
      </c>
      <c r="C36" s="153" t="s">
        <v>137</v>
      </c>
      <c r="D36" s="52">
        <v>14</v>
      </c>
      <c r="E36" s="151">
        <f>('12.Facility 1 - Trading'!D229/365)*$D$36</f>
        <v>1762277.9041095888</v>
      </c>
      <c r="F36" s="151">
        <f>('12.Facility 1 - Trading'!E229/365)*$D$36</f>
        <v>1936795.4794520549</v>
      </c>
      <c r="G36" s="151">
        <f>('12.Facility 1 - Trading'!F229/365)*$D$36</f>
        <v>2033635.2534246575</v>
      </c>
      <c r="H36" s="151">
        <f>('12.Facility 1 - Trading'!G229/365)*$D$36</f>
        <v>2135317.0160958911</v>
      </c>
      <c r="I36" s="151">
        <f>('12.Facility 1 - Trading'!H229/365)*$D$36</f>
        <v>2242082.8669006852</v>
      </c>
      <c r="J36" s="151">
        <f>('12.Facility 1 - Trading'!I229/365)*$D$36</f>
        <v>2354187.0102457199</v>
      </c>
      <c r="K36" s="151">
        <f>('12.Facility 1 - Trading'!J229/365)*$D$36</f>
        <v>2471896.3607580061</v>
      </c>
    </row>
    <row r="37" spans="2:11" ht="15.75" customHeight="1">
      <c r="B37" s="152">
        <v>4</v>
      </c>
      <c r="C37" s="153" t="s">
        <v>340</v>
      </c>
      <c r="D37" s="52">
        <v>14</v>
      </c>
      <c r="E37" s="151">
        <f>('13.Facility 2 Grain Processing'!D148/365)*$D$37</f>
        <v>3706663.01369863</v>
      </c>
      <c r="F37" s="151">
        <f>('13.Facility 2 Grain Processing'!E148/365)*$D$37</f>
        <v>4935404.1780821914</v>
      </c>
      <c r="G37" s="151">
        <f>('13.Facility 2 Grain Processing'!F148/365)*$D$37</f>
        <v>5291773.4589041099</v>
      </c>
      <c r="H37" s="151">
        <f>('13.Facility 2 Grain Processing'!G148/365)*$D$37</f>
        <v>5556362.1318493169</v>
      </c>
      <c r="I37" s="151">
        <f>('13.Facility 2 Grain Processing'!H148/365)*$D$37</f>
        <v>5834180.2384417821</v>
      </c>
      <c r="J37" s="151">
        <f>('13.Facility 2 Grain Processing'!I148/365)*$D$37</f>
        <v>6125889.2503638715</v>
      </c>
      <c r="K37" s="151">
        <f>('13.Facility 2 Grain Processing'!J148/365)*$D$37</f>
        <v>6432183.7128820661</v>
      </c>
    </row>
    <row r="38" spans="2:11" ht="15.75" customHeight="1">
      <c r="B38" s="152">
        <v>5</v>
      </c>
      <c r="C38" s="153" t="s">
        <v>341</v>
      </c>
      <c r="D38" s="52">
        <v>14</v>
      </c>
      <c r="E38" s="151">
        <f>('14. Facility 3 Warehouse'!D23/365)*$D$38</f>
        <v>0</v>
      </c>
      <c r="F38" s="151">
        <f>('14. Facility 3 Warehouse'!E23/365)*$D$38</f>
        <v>0</v>
      </c>
      <c r="G38" s="151">
        <f>('14. Facility 3 Warehouse'!F23/365)*$D$38</f>
        <v>0</v>
      </c>
      <c r="H38" s="151">
        <f>('14. Facility 3 Warehouse'!G23/365)*$D$38</f>
        <v>0</v>
      </c>
      <c r="I38" s="151">
        <f>('14. Facility 3 Warehouse'!H23/365)*$D$38</f>
        <v>0</v>
      </c>
      <c r="J38" s="151">
        <f>('14. Facility 3 Warehouse'!I23/365)*$D$38</f>
        <v>0</v>
      </c>
      <c r="K38" s="151">
        <f>('14. Facility 3 Warehouse'!J23/365)*$D$38</f>
        <v>0</v>
      </c>
    </row>
    <row r="39" spans="2:11" ht="15.75" customHeight="1">
      <c r="B39" s="152">
        <v>6</v>
      </c>
      <c r="C39" s="153" t="s">
        <v>342</v>
      </c>
      <c r="D39" s="52">
        <v>14</v>
      </c>
      <c r="E39" s="151">
        <f>('17.Facility 6 Horti Processing '!D159/365)*$D$39</f>
        <v>0</v>
      </c>
      <c r="F39" s="151">
        <f>('17.Facility 6 Horti Processing '!E159/365)*$D$39</f>
        <v>0</v>
      </c>
      <c r="G39" s="151">
        <f>('17.Facility 6 Horti Processing '!F159/365)*$D$39</f>
        <v>0</v>
      </c>
      <c r="H39" s="151">
        <f>('17.Facility 6 Horti Processing '!G159/365)*$D$39</f>
        <v>0</v>
      </c>
      <c r="I39" s="151">
        <f>('17.Facility 6 Horti Processing '!H159/365)*$D$39</f>
        <v>0</v>
      </c>
      <c r="J39" s="151">
        <f>('17.Facility 6 Horti Processing '!I159/365)*$D$39</f>
        <v>0</v>
      </c>
      <c r="K39" s="151">
        <f>('17.Facility 6 Horti Processing '!J159/365)*$D$39</f>
        <v>0</v>
      </c>
    </row>
    <row r="40" spans="2:11" ht="15.75" customHeight="1">
      <c r="B40" s="152"/>
      <c r="C40" s="153"/>
      <c r="D40" s="52"/>
      <c r="E40" s="151"/>
      <c r="F40" s="151"/>
      <c r="G40" s="151"/>
      <c r="H40" s="151"/>
      <c r="I40" s="151"/>
      <c r="J40" s="151"/>
      <c r="K40" s="151"/>
    </row>
    <row r="41" spans="2:11" ht="15.75" customHeight="1">
      <c r="B41" s="149"/>
      <c r="C41" s="150" t="s">
        <v>134</v>
      </c>
      <c r="D41" s="52"/>
      <c r="E41" s="151">
        <f t="shared" ref="E41:K41" si="13">SUM(E34:E40)</f>
        <v>5468940.9178082189</v>
      </c>
      <c r="F41" s="151">
        <f t="shared" si="13"/>
        <v>6872199.6575342463</v>
      </c>
      <c r="G41" s="151">
        <f t="shared" si="13"/>
        <v>7325408.7123287674</v>
      </c>
      <c r="H41" s="151">
        <f t="shared" si="13"/>
        <v>7691679.1479452085</v>
      </c>
      <c r="I41" s="151">
        <f t="shared" si="13"/>
        <v>8076263.1053424673</v>
      </c>
      <c r="J41" s="151">
        <f t="shared" si="13"/>
        <v>8480076.2606095914</v>
      </c>
      <c r="K41" s="151">
        <f t="shared" si="13"/>
        <v>8904080.0736400727</v>
      </c>
    </row>
    <row r="42" spans="2:11" ht="15.75" customHeight="1">
      <c r="B42" s="149" t="s">
        <v>61</v>
      </c>
      <c r="C42" s="150" t="s">
        <v>332</v>
      </c>
      <c r="D42" s="52"/>
      <c r="E42" s="151">
        <f>'5.Closing Stock &amp; W Capital'!E21</f>
        <v>7223465.9523809524</v>
      </c>
      <c r="F42" s="151">
        <f>'5.Closing Stock &amp; W Capital'!F21</f>
        <v>8479268.75</v>
      </c>
      <c r="G42" s="151">
        <f>'5.Closing Stock &amp; W Capital'!G21</f>
        <v>8903232.1875</v>
      </c>
      <c r="H42" s="151">
        <f>'5.Closing Stock &amp; W Capital'!H21</f>
        <v>9348393.7968750037</v>
      </c>
      <c r="I42" s="151">
        <f>'5.Closing Stock &amp; W Capital'!I21</f>
        <v>9815813.4867187515</v>
      </c>
      <c r="J42" s="151">
        <f>'5.Closing Stock &amp; W Capital'!J21</f>
        <v>10306604.161054689</v>
      </c>
      <c r="K42" s="151">
        <f>'5.Closing Stock &amp; W Capital'!K21</f>
        <v>10821934.369107425</v>
      </c>
    </row>
    <row r="43" spans="2:11" ht="15.75" customHeight="1">
      <c r="B43" s="149"/>
      <c r="C43" s="153"/>
      <c r="D43" s="52"/>
      <c r="E43" s="151"/>
      <c r="F43" s="151"/>
      <c r="G43" s="151"/>
      <c r="H43" s="151"/>
      <c r="I43" s="151"/>
      <c r="J43" s="151"/>
      <c r="K43" s="151"/>
    </row>
    <row r="44" spans="2:11" ht="15.75" customHeight="1">
      <c r="B44" s="401" t="s">
        <v>87</v>
      </c>
      <c r="C44" s="383"/>
      <c r="D44" s="154"/>
      <c r="E44" s="155">
        <f t="shared" ref="E44:K44" si="14">SUM(E41:E42)</f>
        <v>12692406.870189171</v>
      </c>
      <c r="F44" s="155">
        <f t="shared" si="14"/>
        <v>15351468.407534245</v>
      </c>
      <c r="G44" s="155">
        <f t="shared" si="14"/>
        <v>16228640.899828767</v>
      </c>
      <c r="H44" s="155">
        <f t="shared" si="14"/>
        <v>17040072.94482021</v>
      </c>
      <c r="I44" s="155">
        <f t="shared" si="14"/>
        <v>17892076.592061218</v>
      </c>
      <c r="J44" s="155">
        <f t="shared" si="14"/>
        <v>18786680.421664283</v>
      </c>
      <c r="K44" s="155">
        <f t="shared" si="14"/>
        <v>19726014.442747496</v>
      </c>
    </row>
    <row r="45" spans="2:11" ht="15.75" customHeight="1">
      <c r="B45" s="149"/>
      <c r="C45" s="150"/>
      <c r="D45" s="52"/>
      <c r="E45" s="151"/>
      <c r="F45" s="151"/>
      <c r="G45" s="151"/>
      <c r="H45" s="151"/>
      <c r="I45" s="151"/>
      <c r="J45" s="151"/>
      <c r="K45" s="151"/>
    </row>
    <row r="46" spans="2:11" ht="34.5" customHeight="1">
      <c r="B46" s="149" t="s">
        <v>136</v>
      </c>
      <c r="C46" s="153" t="s">
        <v>343</v>
      </c>
      <c r="D46" s="52"/>
      <c r="E46" s="151"/>
      <c r="F46" s="151"/>
      <c r="G46" s="151"/>
      <c r="H46" s="151"/>
      <c r="I46" s="151"/>
      <c r="J46" s="151"/>
      <c r="K46" s="151"/>
    </row>
    <row r="47" spans="2:11" ht="15.75" customHeight="1">
      <c r="B47" s="152">
        <v>1</v>
      </c>
      <c r="C47" s="153" t="str">
        <f t="shared" ref="C47:C52" si="15">C34</f>
        <v>Agri Input</v>
      </c>
      <c r="D47" s="52">
        <v>7</v>
      </c>
      <c r="E47" s="151">
        <f>('16.Facility 5 Agri Input'!D262/365)*$D$47</f>
        <v>0</v>
      </c>
      <c r="F47" s="151">
        <f>('16.Facility 5 Agri Input'!E262/365)*$D$47</f>
        <v>0</v>
      </c>
      <c r="G47" s="151">
        <f>('16.Facility 5 Agri Input'!F262/365)*$D$47</f>
        <v>0</v>
      </c>
      <c r="H47" s="151">
        <f>('16.Facility 5 Agri Input'!G262/365)*$D$47</f>
        <v>0</v>
      </c>
      <c r="I47" s="151">
        <f>('16.Facility 5 Agri Input'!H262/365)*$D$47</f>
        <v>0</v>
      </c>
      <c r="J47" s="151">
        <f>('16.Facility 5 Agri Input'!I262/365)*$D$47</f>
        <v>0</v>
      </c>
      <c r="K47" s="151">
        <f>('16.Facility 5 Agri Input'!J262/365)*$D$47</f>
        <v>0</v>
      </c>
    </row>
    <row r="48" spans="2:11" ht="15.75" customHeight="1">
      <c r="B48" s="152">
        <v>2</v>
      </c>
      <c r="C48" s="153" t="str">
        <f t="shared" si="15"/>
        <v>Custom Hiring</v>
      </c>
      <c r="D48" s="52">
        <v>7</v>
      </c>
      <c r="E48" s="151">
        <f>('15. Facility 4 Custom Hiring'!E49/365)*$D$49</f>
        <v>0</v>
      </c>
      <c r="F48" s="151">
        <f>('15. Facility 4 Custom Hiring'!F49/365)*$D$49</f>
        <v>0</v>
      </c>
      <c r="G48" s="151">
        <f>('15. Facility 4 Custom Hiring'!G49/365)*$D$49</f>
        <v>0</v>
      </c>
      <c r="H48" s="151">
        <f>('15. Facility 4 Custom Hiring'!H49/365)*$D$49</f>
        <v>0</v>
      </c>
      <c r="I48" s="151">
        <f>('15. Facility 4 Custom Hiring'!I49/365)*$D$49</f>
        <v>0</v>
      </c>
      <c r="J48" s="151">
        <f>('15. Facility 4 Custom Hiring'!J49/365)*$D$49</f>
        <v>0</v>
      </c>
      <c r="K48" s="151">
        <f>('15. Facility 4 Custom Hiring'!K49/365)*$D$49</f>
        <v>0</v>
      </c>
    </row>
    <row r="49" spans="1:12" ht="15.75" customHeight="1">
      <c r="B49" s="152">
        <v>3</v>
      </c>
      <c r="C49" s="153" t="str">
        <f t="shared" si="15"/>
        <v>Cleaning &amp; Grading</v>
      </c>
      <c r="D49" s="52">
        <v>7</v>
      </c>
      <c r="E49" s="151">
        <f>('12.Facility 1 - Trading'!D292/365)*$D$49</f>
        <v>874452.94520547951</v>
      </c>
      <c r="F49" s="151">
        <f>('12.Facility 1 - Trading'!E292/365)*$D$49</f>
        <v>959380.18150684936</v>
      </c>
      <c r="G49" s="151">
        <f>('12.Facility 1 - Trading'!F292/365)*$D$49</f>
        <v>1007349.1905821918</v>
      </c>
      <c r="H49" s="151">
        <f>('12.Facility 1 - Trading'!G292/365)*$D$49</f>
        <v>1057716.6501113018</v>
      </c>
      <c r="I49" s="151">
        <f>('12.Facility 1 - Trading'!H292/365)*$D$49</f>
        <v>1110602.4826168667</v>
      </c>
      <c r="J49" s="151">
        <f>('12.Facility 1 - Trading'!I292/365)*$D$49</f>
        <v>1166132.6067477101</v>
      </c>
      <c r="K49" s="151">
        <f>('12.Facility 1 - Trading'!J292/365)*$D$49</f>
        <v>1224439.2370850956</v>
      </c>
    </row>
    <row r="50" spans="1:12" ht="15.75" customHeight="1">
      <c r="B50" s="152">
        <v>4</v>
      </c>
      <c r="C50" s="153" t="str">
        <f t="shared" si="15"/>
        <v>Dal Mill</v>
      </c>
      <c r="D50" s="52">
        <v>7</v>
      </c>
      <c r="E50" s="151">
        <f>('13.Facility 2 Grain Processing'!D169/365)*$D$50</f>
        <v>1857870.5388127852</v>
      </c>
      <c r="F50" s="151">
        <f>('13.Facility 2 Grain Processing'!E169/365)*$D$50</f>
        <v>2375609.3881278536</v>
      </c>
      <c r="G50" s="151">
        <f>('13.Facility 2 Grain Processing'!F169/365)*$D$50</f>
        <v>2511547.1356164385</v>
      </c>
      <c r="H50" s="151">
        <f>('13.Facility 2 Grain Processing'!G169/365)*$D$50</f>
        <v>2637124.4923972613</v>
      </c>
      <c r="I50" s="151">
        <f>('13.Facility 2 Grain Processing'!H169/365)*$D$50</f>
        <v>2768980.7170171235</v>
      </c>
      <c r="J50" s="151">
        <f>('13.Facility 2 Grain Processing'!I169/365)*$D$50</f>
        <v>2907429.7528679799</v>
      </c>
      <c r="K50" s="151">
        <f>('13.Facility 2 Grain Processing'!J169/365)*$D$50</f>
        <v>3052801.2405113792</v>
      </c>
    </row>
    <row r="51" spans="1:12" ht="15.75" customHeight="1">
      <c r="B51" s="152">
        <v>5</v>
      </c>
      <c r="C51" s="153" t="str">
        <f t="shared" si="15"/>
        <v>Warehouse</v>
      </c>
      <c r="D51" s="52">
        <v>7</v>
      </c>
      <c r="E51" s="151">
        <f>('14. Facility 3 Warehouse'!D34/365)*$D$51</f>
        <v>0</v>
      </c>
      <c r="F51" s="151">
        <f>('14. Facility 3 Warehouse'!E34/365)*$D$51</f>
        <v>0</v>
      </c>
      <c r="G51" s="151">
        <f>('14. Facility 3 Warehouse'!F34/365)*$D$51</f>
        <v>0</v>
      </c>
      <c r="H51" s="151">
        <f>('14. Facility 3 Warehouse'!G34/365)*$D$51</f>
        <v>0</v>
      </c>
      <c r="I51" s="151">
        <f>('14. Facility 3 Warehouse'!H34/365)*$D$51</f>
        <v>0</v>
      </c>
      <c r="J51" s="151">
        <f>('14. Facility 3 Warehouse'!I34/365)*$D$51</f>
        <v>0</v>
      </c>
      <c r="K51" s="151">
        <f>('14. Facility 3 Warehouse'!J34/365)*$D$51</f>
        <v>0</v>
      </c>
    </row>
    <row r="52" spans="1:12" ht="15.75" customHeight="1">
      <c r="B52" s="152"/>
      <c r="C52" s="153" t="str">
        <f t="shared" si="15"/>
        <v>Processing Unit - Horti Commodity</v>
      </c>
      <c r="D52" s="52">
        <v>7</v>
      </c>
      <c r="E52" s="151">
        <f>('17.Facility 6 Horti Processing '!D177/365)*$D$52</f>
        <v>-97327.634703196352</v>
      </c>
      <c r="F52" s="151">
        <f>('17.Facility 6 Horti Processing '!E177/365)*$D$52</f>
        <v>-22023.659817351596</v>
      </c>
      <c r="G52" s="151">
        <f>('17.Facility 6 Horti Processing '!F177/365)*$D$52</f>
        <v>-5967.5647260273972</v>
      </c>
      <c r="H52" s="151">
        <f>('17.Facility 6 Horti Processing '!G177/365)*$D$52</f>
        <v>-6265.9429623288061</v>
      </c>
      <c r="I52" s="151">
        <f>('17.Facility 6 Horti Processing '!H177/365)*$D$52</f>
        <v>-6579.2401104451828</v>
      </c>
      <c r="J52" s="151">
        <f>('17.Facility 6 Horti Processing '!I177/365)*$D$52</f>
        <v>-6908.2021159674841</v>
      </c>
      <c r="K52" s="151">
        <f>('17.Facility 6 Horti Processing '!J177/365)*$D$52</f>
        <v>-7253.6122217658522</v>
      </c>
    </row>
    <row r="53" spans="1:12" ht="15.75" customHeight="1">
      <c r="B53" s="152"/>
      <c r="C53" s="153"/>
      <c r="D53" s="52"/>
      <c r="E53" s="151"/>
      <c r="F53" s="151"/>
      <c r="G53" s="151"/>
      <c r="H53" s="151"/>
      <c r="I53" s="151"/>
      <c r="J53" s="151"/>
      <c r="K53" s="151"/>
    </row>
    <row r="54" spans="1:12" ht="15.75" customHeight="1">
      <c r="B54" s="156"/>
      <c r="C54" s="150" t="s">
        <v>87</v>
      </c>
      <c r="D54" s="52"/>
      <c r="E54" s="155">
        <f t="shared" ref="E54:K54" si="16">SUM(E47:E53)</f>
        <v>2634995.8493150687</v>
      </c>
      <c r="F54" s="155">
        <f t="shared" si="16"/>
        <v>3312965.9098173515</v>
      </c>
      <c r="G54" s="155">
        <f t="shared" si="16"/>
        <v>3512928.7614726028</v>
      </c>
      <c r="H54" s="155">
        <f t="shared" si="16"/>
        <v>3688575.1995462342</v>
      </c>
      <c r="I54" s="155">
        <f t="shared" si="16"/>
        <v>3873003.9595235451</v>
      </c>
      <c r="J54" s="155">
        <f t="shared" si="16"/>
        <v>4066654.1574997227</v>
      </c>
      <c r="K54" s="155">
        <f t="shared" si="16"/>
        <v>4269986.8653747085</v>
      </c>
    </row>
    <row r="55" spans="1:12" ht="15.75" customHeight="1">
      <c r="B55" s="149" t="s">
        <v>138</v>
      </c>
      <c r="C55" s="150" t="s">
        <v>86</v>
      </c>
      <c r="D55" s="52"/>
      <c r="E55" s="155">
        <f t="shared" ref="E55:K55" si="17">E44-E54</f>
        <v>10057411.020874102</v>
      </c>
      <c r="F55" s="155">
        <f t="shared" si="17"/>
        <v>12038502.497716894</v>
      </c>
      <c r="G55" s="155">
        <f t="shared" si="17"/>
        <v>12715712.138356164</v>
      </c>
      <c r="H55" s="155">
        <f t="shared" si="17"/>
        <v>13351497.745273976</v>
      </c>
      <c r="I55" s="155">
        <f t="shared" si="17"/>
        <v>14019072.632537672</v>
      </c>
      <c r="J55" s="155">
        <f t="shared" si="17"/>
        <v>14720026.26416456</v>
      </c>
      <c r="K55" s="155">
        <f t="shared" si="17"/>
        <v>15456027.577372788</v>
      </c>
    </row>
    <row r="56" spans="1:12" ht="15.75" customHeight="1">
      <c r="B56" s="149"/>
      <c r="C56" s="150" t="s">
        <v>93</v>
      </c>
      <c r="D56" s="157"/>
      <c r="E56" s="155">
        <f>E55*$D$56</f>
        <v>0</v>
      </c>
      <c r="F56" s="155"/>
      <c r="G56" s="155"/>
      <c r="H56" s="155"/>
      <c r="I56" s="155"/>
      <c r="J56" s="155"/>
      <c r="K56" s="155"/>
    </row>
    <row r="57" spans="1:12" ht="15.75" customHeight="1"/>
    <row r="58" spans="1:12" ht="15.75" customHeight="1">
      <c r="E58" s="158"/>
    </row>
    <row r="59" spans="1:12" ht="36.75" customHeight="1">
      <c r="A59" s="414" t="s">
        <v>344</v>
      </c>
      <c r="B59" s="378"/>
      <c r="C59" s="378"/>
      <c r="D59" s="378"/>
      <c r="E59" s="378"/>
      <c r="F59" s="378"/>
      <c r="G59" s="378"/>
      <c r="H59" s="378"/>
      <c r="I59" s="378"/>
      <c r="J59" s="378"/>
      <c r="K59" s="378"/>
      <c r="L59" s="378"/>
    </row>
    <row r="60" spans="1:12" ht="15.75" customHeight="1">
      <c r="A60" t="s">
        <v>345</v>
      </c>
    </row>
    <row r="61" spans="1:12" ht="15.75" customHeight="1">
      <c r="A61">
        <v>1</v>
      </c>
      <c r="B61" t="s">
        <v>346</v>
      </c>
    </row>
    <row r="62" spans="1:12" ht="15.75" customHeight="1">
      <c r="A62">
        <v>2</v>
      </c>
      <c r="B62" t="s">
        <v>347</v>
      </c>
    </row>
    <row r="63" spans="1:12" ht="15.75" customHeight="1">
      <c r="A63">
        <v>3</v>
      </c>
      <c r="B63" t="s">
        <v>348</v>
      </c>
    </row>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N6:R6"/>
    <mergeCell ref="U5:V5"/>
    <mergeCell ref="U6:V6"/>
    <mergeCell ref="C2:K2"/>
    <mergeCell ref="N5:R5"/>
    <mergeCell ref="A23:K23"/>
    <mergeCell ref="A59:L59"/>
    <mergeCell ref="B28:K28"/>
    <mergeCell ref="B30:B31"/>
    <mergeCell ref="C30:C31"/>
    <mergeCell ref="B44:C44"/>
    <mergeCell ref="D30:D31"/>
    <mergeCell ref="E30:K30"/>
  </mergeCells>
  <pageMargins left="0.7" right="0.7" top="0.75" bottom="0.75" header="0" footer="0"/>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topLeftCell="A7" workbookViewId="0">
      <selection activeCell="K37" sqref="K37"/>
    </sheetView>
  </sheetViews>
  <sheetFormatPr defaultColWidth="14.42578125" defaultRowHeight="15" customHeight="1"/>
  <cols>
    <col min="1" max="1" width="43.5703125" customWidth="1"/>
    <col min="2" max="8" width="14.5703125" bestFit="1" customWidth="1"/>
    <col min="9" max="9" width="8.5703125" customWidth="1"/>
    <col min="10" max="10" width="10.5703125" bestFit="1" customWidth="1"/>
    <col min="11" max="11" width="8.7109375" customWidth="1"/>
  </cols>
  <sheetData>
    <row r="2" spans="1:8" ht="18.75">
      <c r="A2" s="394" t="s">
        <v>349</v>
      </c>
      <c r="B2" s="378"/>
      <c r="C2" s="378"/>
      <c r="D2" s="378"/>
      <c r="E2" s="378"/>
      <c r="F2" s="378"/>
      <c r="G2" s="378"/>
      <c r="H2" s="378"/>
    </row>
    <row r="4" spans="1:8">
      <c r="B4" s="159"/>
      <c r="C4" s="159"/>
      <c r="D4" s="159"/>
      <c r="E4" s="159"/>
      <c r="F4" s="159"/>
    </row>
    <row r="5" spans="1:8">
      <c r="A5" s="76" t="s">
        <v>150</v>
      </c>
      <c r="B5" s="77" t="s">
        <v>153</v>
      </c>
      <c r="C5" s="77" t="s">
        <v>154</v>
      </c>
      <c r="D5" s="77" t="s">
        <v>155</v>
      </c>
      <c r="E5" s="77" t="s">
        <v>156</v>
      </c>
      <c r="F5" s="77" t="s">
        <v>157</v>
      </c>
      <c r="G5" s="77" t="s">
        <v>158</v>
      </c>
      <c r="H5" s="77" t="s">
        <v>159</v>
      </c>
    </row>
    <row r="6" spans="1:8">
      <c r="A6" s="81" t="s">
        <v>350</v>
      </c>
      <c r="B6" s="78"/>
      <c r="C6" s="78"/>
      <c r="D6" s="78"/>
      <c r="E6" s="78"/>
      <c r="F6" s="78"/>
      <c r="G6" s="78"/>
      <c r="H6" s="78"/>
    </row>
    <row r="7" spans="1:8">
      <c r="A7" s="78"/>
      <c r="B7" s="78"/>
      <c r="C7" s="78"/>
      <c r="D7" s="78"/>
      <c r="E7" s="78"/>
      <c r="F7" s="78"/>
      <c r="G7" s="78"/>
      <c r="H7" s="78"/>
    </row>
    <row r="8" spans="1:8">
      <c r="A8" s="78" t="s">
        <v>351</v>
      </c>
      <c r="B8" s="80">
        <f>'12.Facility 1 - Trading'!D229</f>
        <v>45945102.5</v>
      </c>
      <c r="C8" s="80">
        <f>'12.Facility 1 - Trading'!E229</f>
        <v>50495025</v>
      </c>
      <c r="D8" s="80">
        <f>'12.Facility 1 - Trading'!F229</f>
        <v>53019776.25</v>
      </c>
      <c r="E8" s="80">
        <f>'12.Facility 1 - Trading'!G229</f>
        <v>55670765.062500015</v>
      </c>
      <c r="F8" s="80">
        <f>'12.Facility 1 - Trading'!H229</f>
        <v>58454303.315625012</v>
      </c>
      <c r="G8" s="80">
        <f>'12.Facility 1 - Trading'!I229</f>
        <v>61377018.481406271</v>
      </c>
      <c r="H8" s="80">
        <f>'12.Facility 1 - Trading'!J229</f>
        <v>64445869.405476585</v>
      </c>
    </row>
    <row r="9" spans="1:8">
      <c r="A9" s="78" t="s">
        <v>352</v>
      </c>
      <c r="B9" s="80">
        <f>'13.Facility 2 Grain Processing'!D148</f>
        <v>96638000</v>
      </c>
      <c r="C9" s="80">
        <f>'13.Facility 2 Grain Processing'!E148</f>
        <v>128673037.5</v>
      </c>
      <c r="D9" s="80">
        <f>'13.Facility 2 Grain Processing'!F148</f>
        <v>137964093.75</v>
      </c>
      <c r="E9" s="80">
        <f>'13.Facility 2 Grain Processing'!G148</f>
        <v>144862298.43750003</v>
      </c>
      <c r="F9" s="80">
        <f>'13.Facility 2 Grain Processing'!H148</f>
        <v>152105413.35937503</v>
      </c>
      <c r="G9" s="80">
        <f>'13.Facility 2 Grain Processing'!I148</f>
        <v>159710684.02734378</v>
      </c>
      <c r="H9" s="80">
        <f>'13.Facility 2 Grain Processing'!J148</f>
        <v>167696218.22871101</v>
      </c>
    </row>
    <row r="10" spans="1:8" hidden="1">
      <c r="A10" s="78" t="s">
        <v>353</v>
      </c>
      <c r="B10" s="80">
        <f>'14. Facility 3 Warehouse'!D23</f>
        <v>0</v>
      </c>
      <c r="C10" s="80">
        <f>'14. Facility 3 Warehouse'!E23</f>
        <v>0</v>
      </c>
      <c r="D10" s="80">
        <f>'14. Facility 3 Warehouse'!F23</f>
        <v>0</v>
      </c>
      <c r="E10" s="80">
        <f>'14. Facility 3 Warehouse'!G23</f>
        <v>0</v>
      </c>
      <c r="F10" s="80">
        <f>'14. Facility 3 Warehouse'!H23</f>
        <v>0</v>
      </c>
      <c r="G10" s="80">
        <f>'14. Facility 3 Warehouse'!I23</f>
        <v>0</v>
      </c>
      <c r="H10" s="80">
        <f>'14. Facility 3 Warehouse'!J23</f>
        <v>0</v>
      </c>
    </row>
    <row r="11" spans="1:8" hidden="1">
      <c r="A11" s="78" t="s">
        <v>354</v>
      </c>
      <c r="B11" s="80">
        <f>'15. Facility 4 Custom Hiring'!E39</f>
        <v>0</v>
      </c>
      <c r="C11" s="80">
        <f>'15. Facility 4 Custom Hiring'!F39</f>
        <v>0</v>
      </c>
      <c r="D11" s="80">
        <f>'15. Facility 4 Custom Hiring'!G39</f>
        <v>0</v>
      </c>
      <c r="E11" s="80">
        <f>'15. Facility 4 Custom Hiring'!H39</f>
        <v>0</v>
      </c>
      <c r="F11" s="80">
        <f>'15. Facility 4 Custom Hiring'!I39</f>
        <v>0</v>
      </c>
      <c r="G11" s="80">
        <f>'15. Facility 4 Custom Hiring'!J39</f>
        <v>0</v>
      </c>
      <c r="H11" s="80">
        <f>'15. Facility 4 Custom Hiring'!K39</f>
        <v>0</v>
      </c>
    </row>
    <row r="12" spans="1:8" hidden="1">
      <c r="A12" s="78" t="s">
        <v>355</v>
      </c>
      <c r="B12" s="80">
        <f>'16.Facility 5 Agri Input'!D191</f>
        <v>0</v>
      </c>
      <c r="C12" s="80">
        <f>'16.Facility 5 Agri Input'!E191</f>
        <v>0</v>
      </c>
      <c r="D12" s="80">
        <f>'16.Facility 5 Agri Input'!F191</f>
        <v>0</v>
      </c>
      <c r="E12" s="80">
        <f>'16.Facility 5 Agri Input'!G191</f>
        <v>0</v>
      </c>
      <c r="F12" s="80">
        <f>'16.Facility 5 Agri Input'!H191</f>
        <v>0</v>
      </c>
      <c r="G12" s="80">
        <f>'16.Facility 5 Agri Input'!I191</f>
        <v>0</v>
      </c>
      <c r="H12" s="80">
        <f>'16.Facility 5 Agri Input'!J191</f>
        <v>0</v>
      </c>
    </row>
    <row r="13" spans="1:8" hidden="1">
      <c r="A13" s="78" t="s">
        <v>356</v>
      </c>
      <c r="B13" s="80">
        <f>'17.Facility 6 Horti Processing '!D159</f>
        <v>0</v>
      </c>
      <c r="C13" s="80">
        <f>'17.Facility 6 Horti Processing '!E159</f>
        <v>0</v>
      </c>
      <c r="D13" s="80">
        <f>'17.Facility 6 Horti Processing '!F159</f>
        <v>0</v>
      </c>
      <c r="E13" s="80">
        <f>'17.Facility 6 Horti Processing '!G159</f>
        <v>0</v>
      </c>
      <c r="F13" s="80">
        <f>'17.Facility 6 Horti Processing '!H159</f>
        <v>0</v>
      </c>
      <c r="G13" s="80">
        <f>'17.Facility 6 Horti Processing '!I159</f>
        <v>0</v>
      </c>
      <c r="H13" s="80">
        <f>'17.Facility 6 Horti Processing '!J159</f>
        <v>0</v>
      </c>
    </row>
    <row r="14" spans="1:8">
      <c r="A14" s="78"/>
      <c r="B14" s="80"/>
      <c r="C14" s="80"/>
      <c r="D14" s="80"/>
      <c r="E14" s="80"/>
      <c r="F14" s="80"/>
      <c r="G14" s="80"/>
      <c r="H14" s="80"/>
    </row>
    <row r="15" spans="1:8">
      <c r="A15" s="81" t="s">
        <v>357</v>
      </c>
      <c r="B15" s="82">
        <f t="shared" ref="B15:H15" si="0">SUM(B8:B14)</f>
        <v>142583102.5</v>
      </c>
      <c r="C15" s="82">
        <f t="shared" si="0"/>
        <v>179168062.5</v>
      </c>
      <c r="D15" s="82">
        <f t="shared" si="0"/>
        <v>190983870</v>
      </c>
      <c r="E15" s="82">
        <f t="shared" si="0"/>
        <v>200533063.50000006</v>
      </c>
      <c r="F15" s="82">
        <f t="shared" si="0"/>
        <v>210559716.67500004</v>
      </c>
      <c r="G15" s="82">
        <f t="shared" si="0"/>
        <v>221087702.50875005</v>
      </c>
      <c r="H15" s="82">
        <f t="shared" si="0"/>
        <v>232142087.63418758</v>
      </c>
    </row>
    <row r="16" spans="1:8">
      <c r="A16" s="78"/>
      <c r="B16" s="80"/>
      <c r="C16" s="80"/>
      <c r="D16" s="80"/>
      <c r="E16" s="80"/>
      <c r="F16" s="80"/>
      <c r="G16" s="80"/>
      <c r="H16" s="80"/>
    </row>
    <row r="17" spans="1:8">
      <c r="A17" s="81" t="s">
        <v>358</v>
      </c>
      <c r="B17" s="80"/>
      <c r="C17" s="80"/>
      <c r="D17" s="80"/>
      <c r="E17" s="80"/>
      <c r="F17" s="80"/>
      <c r="G17" s="80"/>
      <c r="H17" s="80"/>
    </row>
    <row r="18" spans="1:8">
      <c r="A18" s="78" t="str">
        <f t="shared" ref="A18:A23" si="1">A8</f>
        <v>Faclitiy 1 - Cleaning &amp; Grading</v>
      </c>
      <c r="B18" s="80">
        <f>'12.Facility 1 - Trading'!D292</f>
        <v>45596475</v>
      </c>
      <c r="C18" s="80">
        <f>'12.Facility 1 - Trading'!E292</f>
        <v>50024823.75</v>
      </c>
      <c r="D18" s="80">
        <f>'12.Facility 1 - Trading'!F292</f>
        <v>52526064.9375</v>
      </c>
      <c r="E18" s="80">
        <f>'12.Facility 1 - Trading'!G292</f>
        <v>55152368.184375018</v>
      </c>
      <c r="F18" s="80">
        <f>'12.Facility 1 - Trading'!H292</f>
        <v>57909986.593593761</v>
      </c>
      <c r="G18" s="80">
        <f>'12.Facility 1 - Trading'!I292</f>
        <v>60805485.923273459</v>
      </c>
      <c r="H18" s="80">
        <f>'12.Facility 1 - Trading'!J292</f>
        <v>63845760.219437137</v>
      </c>
    </row>
    <row r="19" spans="1:8">
      <c r="A19" s="78" t="str">
        <f t="shared" si="1"/>
        <v>Faclitiy 2 - Processing Unit- Dal Mill</v>
      </c>
      <c r="B19" s="80">
        <f>'13.Facility 2 Grain Processing'!D169</f>
        <v>96874678.09523809</v>
      </c>
      <c r="C19" s="80">
        <f>'13.Facility 2 Grain Processing'!E169</f>
        <v>123871060.95238096</v>
      </c>
      <c r="D19" s="80">
        <f>'13.Facility 2 Grain Processing'!F169</f>
        <v>130959243.5</v>
      </c>
      <c r="E19" s="80">
        <f>'13.Facility 2 Grain Processing'!G169</f>
        <v>137507205.67500004</v>
      </c>
      <c r="F19" s="80">
        <f>'13.Facility 2 Grain Processing'!H169</f>
        <v>144382565.95875001</v>
      </c>
      <c r="G19" s="80">
        <f>'13.Facility 2 Grain Processing'!I169</f>
        <v>151601694.25668752</v>
      </c>
      <c r="H19" s="80">
        <f>'13.Facility 2 Grain Processing'!J169</f>
        <v>159181778.96952191</v>
      </c>
    </row>
    <row r="20" spans="1:8" hidden="1">
      <c r="A20" s="78" t="str">
        <f t="shared" si="1"/>
        <v>Faclitiy 3 - Warehouse</v>
      </c>
      <c r="B20" s="80">
        <f>'14. Facility 3 Warehouse'!D34</f>
        <v>0</v>
      </c>
      <c r="C20" s="80">
        <f>'14. Facility 3 Warehouse'!E34</f>
        <v>0</v>
      </c>
      <c r="D20" s="80">
        <f>'14. Facility 3 Warehouse'!F34</f>
        <v>0</v>
      </c>
      <c r="E20" s="80">
        <f>'14. Facility 3 Warehouse'!G34</f>
        <v>0</v>
      </c>
      <c r="F20" s="80">
        <f>'14. Facility 3 Warehouse'!H34</f>
        <v>0</v>
      </c>
      <c r="G20" s="80">
        <f>'14. Facility 3 Warehouse'!I34</f>
        <v>0</v>
      </c>
      <c r="H20" s="80">
        <f>'14. Facility 3 Warehouse'!J34</f>
        <v>0</v>
      </c>
    </row>
    <row r="21" spans="1:8" ht="15.75" hidden="1" customHeight="1">
      <c r="A21" s="78" t="str">
        <f t="shared" si="1"/>
        <v xml:space="preserve">Faclitiy 4 - Custom Hiring </v>
      </c>
      <c r="B21" s="80">
        <f>'15. Facility 4 Custom Hiring'!E49</f>
        <v>0</v>
      </c>
      <c r="C21" s="80">
        <f>'15. Facility 4 Custom Hiring'!F49</f>
        <v>0</v>
      </c>
      <c r="D21" s="80">
        <f>'15. Facility 4 Custom Hiring'!G49</f>
        <v>0</v>
      </c>
      <c r="E21" s="80">
        <f>'15. Facility 4 Custom Hiring'!H49</f>
        <v>0</v>
      </c>
      <c r="F21" s="80">
        <f>'15. Facility 4 Custom Hiring'!I49</f>
        <v>0</v>
      </c>
      <c r="G21" s="80">
        <f>'15. Facility 4 Custom Hiring'!J49</f>
        <v>0</v>
      </c>
      <c r="H21" s="80">
        <f>'15. Facility 4 Custom Hiring'!K49</f>
        <v>0</v>
      </c>
    </row>
    <row r="22" spans="1:8" ht="15.75" hidden="1" customHeight="1">
      <c r="A22" s="78" t="str">
        <f t="shared" si="1"/>
        <v>Faclitiy 5 - Agri Input Centre</v>
      </c>
      <c r="B22" s="80">
        <f>'16.Facility 5 Agri Input'!D262</f>
        <v>0</v>
      </c>
      <c r="C22" s="80">
        <f>'16.Facility 5 Agri Input'!E262</f>
        <v>0</v>
      </c>
      <c r="D22" s="80">
        <f>'16.Facility 5 Agri Input'!F262</f>
        <v>0</v>
      </c>
      <c r="E22" s="80">
        <f>'16.Facility 5 Agri Input'!G262</f>
        <v>0</v>
      </c>
      <c r="F22" s="80">
        <f>'16.Facility 5 Agri Input'!H262</f>
        <v>0</v>
      </c>
      <c r="G22" s="80">
        <f>'16.Facility 5 Agri Input'!I262</f>
        <v>0</v>
      </c>
      <c r="H22" s="80">
        <f>'16.Facility 5 Agri Input'!J262</f>
        <v>0</v>
      </c>
    </row>
    <row r="23" spans="1:8" ht="15.75" customHeight="1">
      <c r="A23" s="78" t="str">
        <f t="shared" si="1"/>
        <v>Facility 6 - Processing Unit - Horti Commodity</v>
      </c>
      <c r="B23" s="80">
        <f>'17.Facility 6 Horti Processing '!D177</f>
        <v>-5074940.9523809524</v>
      </c>
      <c r="C23" s="80">
        <f>'17.Facility 6 Horti Processing '!E177</f>
        <v>-1148376.5476190476</v>
      </c>
      <c r="D23" s="80">
        <f>'17.Facility 6 Horti Processing '!F177</f>
        <v>-311165.875</v>
      </c>
      <c r="E23" s="80">
        <f>'17.Facility 6 Horti Processing '!G177</f>
        <v>-326724.16875000205</v>
      </c>
      <c r="F23" s="80">
        <f>'17.Facility 6 Horti Processing '!H177</f>
        <v>-343060.37718749885</v>
      </c>
      <c r="G23" s="80">
        <f>'17.Facility 6 Horti Processing '!I177</f>
        <v>-360213.39604687598</v>
      </c>
      <c r="H23" s="80">
        <f>'17.Facility 6 Horti Processing '!J177</f>
        <v>-378224.06584921945</v>
      </c>
    </row>
    <row r="24" spans="1:8" ht="15.75" customHeight="1">
      <c r="A24" s="78"/>
      <c r="B24" s="80"/>
      <c r="C24" s="80"/>
      <c r="D24" s="80"/>
      <c r="E24" s="80"/>
      <c r="F24" s="80"/>
      <c r="G24" s="80"/>
      <c r="H24" s="80"/>
    </row>
    <row r="25" spans="1:8" ht="15.75" customHeight="1">
      <c r="A25" s="81" t="s">
        <v>359</v>
      </c>
      <c r="B25" s="82">
        <f t="shared" ref="B25:H25" si="2">SUM(B18:B24)</f>
        <v>137396212.14285713</v>
      </c>
      <c r="C25" s="82">
        <f t="shared" si="2"/>
        <v>172747508.15476191</v>
      </c>
      <c r="D25" s="82">
        <f t="shared" si="2"/>
        <v>183174142.5625</v>
      </c>
      <c r="E25" s="82">
        <f t="shared" si="2"/>
        <v>192332849.69062507</v>
      </c>
      <c r="F25" s="82">
        <f t="shared" si="2"/>
        <v>201949492.1751563</v>
      </c>
      <c r="G25" s="82">
        <f t="shared" si="2"/>
        <v>212046966.78391409</v>
      </c>
      <c r="H25" s="82">
        <f t="shared" si="2"/>
        <v>222649315.12310985</v>
      </c>
    </row>
    <row r="26" spans="1:8" ht="15.75" customHeight="1">
      <c r="A26" s="78"/>
      <c r="B26" s="80"/>
      <c r="C26" s="80"/>
      <c r="D26" s="80"/>
      <c r="E26" s="80"/>
      <c r="F26" s="80"/>
      <c r="G26" s="80"/>
      <c r="H26" s="80"/>
    </row>
    <row r="27" spans="1:8" ht="15.75" customHeight="1">
      <c r="A27" s="81" t="s">
        <v>360</v>
      </c>
      <c r="B27" s="80"/>
      <c r="C27" s="80"/>
      <c r="D27" s="80"/>
      <c r="E27" s="80"/>
      <c r="F27" s="80"/>
      <c r="G27" s="80"/>
      <c r="H27" s="80"/>
    </row>
    <row r="28" spans="1:8" ht="15.75" hidden="1" customHeight="1">
      <c r="A28" s="78" t="str">
        <f t="shared" ref="A28:A33" si="3">A18</f>
        <v>Faclitiy 1 - Cleaning &amp; Grading</v>
      </c>
      <c r="B28" s="80">
        <f>'12.Facility 1 - Trading'!D301</f>
        <v>0</v>
      </c>
      <c r="C28" s="80">
        <f>'12.Facility 1 - Trading'!E301</f>
        <v>0</v>
      </c>
      <c r="D28" s="80">
        <f>'12.Facility 1 - Trading'!F301</f>
        <v>0</v>
      </c>
      <c r="E28" s="80">
        <f>'12.Facility 1 - Trading'!G301</f>
        <v>0</v>
      </c>
      <c r="F28" s="80">
        <f>'12.Facility 1 - Trading'!H301</f>
        <v>0</v>
      </c>
      <c r="G28" s="80">
        <f>'12.Facility 1 - Trading'!I301</f>
        <v>0</v>
      </c>
      <c r="H28" s="80">
        <f>'12.Facility 1 - Trading'!J301</f>
        <v>0</v>
      </c>
    </row>
    <row r="29" spans="1:8" ht="15.75" hidden="1" customHeight="1">
      <c r="A29" s="78" t="str">
        <f t="shared" si="3"/>
        <v>Faclitiy 2 - Processing Unit- Dal Mill</v>
      </c>
      <c r="B29" s="80">
        <f>'13.Facility 2 Grain Processing'!D177</f>
        <v>0</v>
      </c>
      <c r="C29" s="80">
        <f>'13.Facility 2 Grain Processing'!E177</f>
        <v>0</v>
      </c>
      <c r="D29" s="80">
        <f>'13.Facility 2 Grain Processing'!F177</f>
        <v>0</v>
      </c>
      <c r="E29" s="80">
        <f>'13.Facility 2 Grain Processing'!G177</f>
        <v>0</v>
      </c>
      <c r="F29" s="80">
        <f>'13.Facility 2 Grain Processing'!H177</f>
        <v>0</v>
      </c>
      <c r="G29" s="80">
        <f>'13.Facility 2 Grain Processing'!I177</f>
        <v>0</v>
      </c>
      <c r="H29" s="80">
        <f>'13.Facility 2 Grain Processing'!J177</f>
        <v>0</v>
      </c>
    </row>
    <row r="30" spans="1:8" ht="15.75" hidden="1" customHeight="1">
      <c r="A30" s="78" t="str">
        <f t="shared" si="3"/>
        <v>Faclitiy 3 - Warehouse</v>
      </c>
      <c r="B30" s="80">
        <f>'14. Facility 3 Warehouse'!D43</f>
        <v>0</v>
      </c>
      <c r="C30" s="80">
        <f>'14. Facility 3 Warehouse'!E43</f>
        <v>0</v>
      </c>
      <c r="D30" s="80">
        <f>'14. Facility 3 Warehouse'!F43</f>
        <v>0</v>
      </c>
      <c r="E30" s="80">
        <f>'14. Facility 3 Warehouse'!G43</f>
        <v>0</v>
      </c>
      <c r="F30" s="80">
        <f>'14. Facility 3 Warehouse'!H43</f>
        <v>0</v>
      </c>
      <c r="G30" s="80">
        <f>'14. Facility 3 Warehouse'!I43</f>
        <v>0</v>
      </c>
      <c r="H30" s="80">
        <f>'14. Facility 3 Warehouse'!J43</f>
        <v>0</v>
      </c>
    </row>
    <row r="31" spans="1:8" ht="15.75" hidden="1" customHeight="1">
      <c r="A31" s="78" t="str">
        <f t="shared" si="3"/>
        <v xml:space="preserve">Faclitiy 4 - Custom Hiring </v>
      </c>
      <c r="B31" s="80">
        <f>'15. Facility 4 Custom Hiring'!E56</f>
        <v>0</v>
      </c>
      <c r="C31" s="80">
        <f>'15. Facility 4 Custom Hiring'!F56</f>
        <v>0</v>
      </c>
      <c r="D31" s="80">
        <f>'15. Facility 4 Custom Hiring'!G56</f>
        <v>0</v>
      </c>
      <c r="E31" s="80">
        <f>'15. Facility 4 Custom Hiring'!H56</f>
        <v>0</v>
      </c>
      <c r="F31" s="80">
        <f>'15. Facility 4 Custom Hiring'!I56</f>
        <v>0</v>
      </c>
      <c r="G31" s="80">
        <f>'15. Facility 4 Custom Hiring'!J56</f>
        <v>0</v>
      </c>
      <c r="H31" s="80">
        <f>'15. Facility 4 Custom Hiring'!K56</f>
        <v>0</v>
      </c>
    </row>
    <row r="32" spans="1:8" ht="15.75" hidden="1" customHeight="1">
      <c r="A32" s="78" t="str">
        <f t="shared" si="3"/>
        <v>Faclitiy 5 - Agri Input Centre</v>
      </c>
      <c r="B32" s="80">
        <f>'16.Facility 5 Agri Input'!D273</f>
        <v>0</v>
      </c>
      <c r="C32" s="80">
        <f>'16.Facility 5 Agri Input'!E273</f>
        <v>0</v>
      </c>
      <c r="D32" s="80">
        <f>'16.Facility 5 Agri Input'!F273</f>
        <v>0</v>
      </c>
      <c r="E32" s="80">
        <f>'16.Facility 5 Agri Input'!G273</f>
        <v>0</v>
      </c>
      <c r="F32" s="80">
        <f>'16.Facility 5 Agri Input'!H273</f>
        <v>0</v>
      </c>
      <c r="G32" s="80">
        <f>'16.Facility 5 Agri Input'!I273</f>
        <v>0</v>
      </c>
      <c r="H32" s="80">
        <f>'16.Facility 5 Agri Input'!J273</f>
        <v>0</v>
      </c>
    </row>
    <row r="33" spans="1:10" ht="15.75" hidden="1" customHeight="1">
      <c r="A33" s="78" t="str">
        <f t="shared" si="3"/>
        <v>Facility 6 - Processing Unit - Horti Commodity</v>
      </c>
      <c r="B33" s="80">
        <f>'17.Facility 6 Horti Processing '!D185</f>
        <v>0</v>
      </c>
      <c r="C33" s="80">
        <f>'17.Facility 6 Horti Processing '!E185</f>
        <v>0</v>
      </c>
      <c r="D33" s="80">
        <f>'17.Facility 6 Horti Processing '!F185</f>
        <v>0</v>
      </c>
      <c r="E33" s="80">
        <f>'17.Facility 6 Horti Processing '!G185</f>
        <v>0</v>
      </c>
      <c r="F33" s="80">
        <f>'17.Facility 6 Horti Processing '!H185</f>
        <v>0</v>
      </c>
      <c r="G33" s="80">
        <f>'17.Facility 6 Horti Processing '!I185</f>
        <v>0</v>
      </c>
      <c r="H33" s="80">
        <f>'17.Facility 6 Horti Processing '!J185</f>
        <v>0</v>
      </c>
    </row>
    <row r="34" spans="1:10" ht="15.75" customHeight="1">
      <c r="A34" s="78"/>
      <c r="B34" s="80"/>
      <c r="C34" s="80"/>
      <c r="D34" s="80"/>
      <c r="E34" s="80"/>
      <c r="F34" s="80"/>
      <c r="G34" s="80"/>
      <c r="H34" s="80"/>
    </row>
    <row r="35" spans="1:10" ht="15.75" customHeight="1">
      <c r="A35" s="78" t="s">
        <v>361</v>
      </c>
      <c r="B35" s="80">
        <f>'3.Other Exp &amp; Taxes'!E23</f>
        <v>2106000</v>
      </c>
      <c r="C35" s="80">
        <f>'3.Other Exp &amp; Taxes'!F23</f>
        <v>2211300</v>
      </c>
      <c r="D35" s="80">
        <f>'3.Other Exp &amp; Taxes'!G23</f>
        <v>2321865</v>
      </c>
      <c r="E35" s="80">
        <f>'3.Other Exp &amp; Taxes'!H23</f>
        <v>2437958.2500000005</v>
      </c>
      <c r="F35" s="80">
        <f>'3.Other Exp &amp; Taxes'!I23</f>
        <v>2559856.1625000006</v>
      </c>
      <c r="G35" s="80">
        <f>'3.Other Exp &amp; Taxes'!J23</f>
        <v>2687848.9706250005</v>
      </c>
      <c r="H35" s="80">
        <f>'3.Other Exp &amp; Taxes'!K23</f>
        <v>2822241.419156251</v>
      </c>
    </row>
    <row r="36" spans="1:10" ht="15.75" customHeight="1">
      <c r="A36" s="81" t="s">
        <v>362</v>
      </c>
      <c r="B36" s="82">
        <f t="shared" ref="B36:H36" si="4">SUM(B28:B35)</f>
        <v>2106000</v>
      </c>
      <c r="C36" s="82">
        <f t="shared" si="4"/>
        <v>2211300</v>
      </c>
      <c r="D36" s="82">
        <f t="shared" si="4"/>
        <v>2321865</v>
      </c>
      <c r="E36" s="82">
        <f t="shared" si="4"/>
        <v>2437958.2500000005</v>
      </c>
      <c r="F36" s="82">
        <f t="shared" si="4"/>
        <v>2559856.1625000006</v>
      </c>
      <c r="G36" s="82">
        <f t="shared" si="4"/>
        <v>2687848.9706250005</v>
      </c>
      <c r="H36" s="82">
        <f t="shared" si="4"/>
        <v>2822241.419156251</v>
      </c>
    </row>
    <row r="37" spans="1:10" ht="15.75" customHeight="1">
      <c r="A37" s="78"/>
      <c r="B37" s="80"/>
      <c r="C37" s="80"/>
      <c r="D37" s="80"/>
      <c r="E37" s="80"/>
      <c r="F37" s="80"/>
      <c r="G37" s="80"/>
      <c r="H37" s="80"/>
    </row>
    <row r="38" spans="1:10" ht="15.75" customHeight="1">
      <c r="A38" s="81" t="s">
        <v>363</v>
      </c>
      <c r="B38" s="82">
        <f t="shared" ref="B38:H38" si="5">B25+B36</f>
        <v>139502212.14285713</v>
      </c>
      <c r="C38" s="82">
        <f t="shared" si="5"/>
        <v>174958808.15476191</v>
      </c>
      <c r="D38" s="82">
        <f t="shared" si="5"/>
        <v>185496007.5625</v>
      </c>
      <c r="E38" s="82">
        <f t="shared" si="5"/>
        <v>194770807.94062507</v>
      </c>
      <c r="F38" s="82">
        <f t="shared" si="5"/>
        <v>204509348.33765629</v>
      </c>
      <c r="G38" s="82">
        <f t="shared" si="5"/>
        <v>214734815.7545391</v>
      </c>
      <c r="H38" s="82">
        <f t="shared" si="5"/>
        <v>225471556.5422661</v>
      </c>
    </row>
    <row r="39" spans="1:10" ht="15.75" customHeight="1">
      <c r="A39" s="78"/>
      <c r="B39" s="80"/>
      <c r="C39" s="80"/>
      <c r="D39" s="80"/>
      <c r="E39" s="80"/>
      <c r="F39" s="80"/>
      <c r="G39" s="80"/>
      <c r="H39" s="80"/>
    </row>
    <row r="40" spans="1:10" ht="15.75" customHeight="1">
      <c r="A40" s="81" t="s">
        <v>364</v>
      </c>
      <c r="B40" s="82">
        <f t="shared" ref="B40:H40" si="6">B15-B38</f>
        <v>3080890.3571428657</v>
      </c>
      <c r="C40" s="82">
        <f t="shared" si="6"/>
        <v>4209254.3452380896</v>
      </c>
      <c r="D40" s="82">
        <f t="shared" si="6"/>
        <v>5487862.4375</v>
      </c>
      <c r="E40" s="82">
        <f t="shared" si="6"/>
        <v>5762255.5593749881</v>
      </c>
      <c r="F40" s="82">
        <f t="shared" si="6"/>
        <v>6050368.3373437524</v>
      </c>
      <c r="G40" s="82">
        <f t="shared" si="6"/>
        <v>6352886.7542109489</v>
      </c>
      <c r="H40" s="82">
        <f t="shared" si="6"/>
        <v>6670531.0919214785</v>
      </c>
      <c r="J40" s="160">
        <f>B49+B42+B43</f>
        <v>1938479.8692606825</v>
      </c>
    </row>
    <row r="41" spans="1:10" ht="15.75" customHeight="1">
      <c r="A41" s="78"/>
      <c r="B41" s="80"/>
      <c r="C41" s="80"/>
      <c r="D41" s="80"/>
      <c r="E41" s="80"/>
      <c r="F41" s="80"/>
      <c r="G41" s="80"/>
      <c r="H41" s="80"/>
      <c r="J41" s="161">
        <f>'5.Closing Stock &amp; W Capital'!E56</f>
        <v>0</v>
      </c>
    </row>
    <row r="42" spans="1:10" ht="15.75" customHeight="1">
      <c r="A42" s="78" t="s">
        <v>179</v>
      </c>
      <c r="B42" s="80">
        <f>'3.Other Exp &amp; Taxes'!C66</f>
        <v>485353.69149999996</v>
      </c>
      <c r="C42" s="80">
        <f>'3.Other Exp &amp; Taxes'!D66</f>
        <v>485353.69149999996</v>
      </c>
      <c r="D42" s="80">
        <f>'3.Other Exp &amp; Taxes'!E66</f>
        <v>485353.69149999996</v>
      </c>
      <c r="E42" s="80">
        <f>'3.Other Exp &amp; Taxes'!F66</f>
        <v>485353.69149999996</v>
      </c>
      <c r="F42" s="80">
        <f>'3.Other Exp &amp; Taxes'!G66</f>
        <v>485353.69149999996</v>
      </c>
      <c r="G42" s="80">
        <f>'3.Other Exp &amp; Taxes'!H66</f>
        <v>485353.69149999996</v>
      </c>
      <c r="H42" s="80">
        <f>'3.Other Exp &amp; Taxes'!I66</f>
        <v>485353.69149999996</v>
      </c>
      <c r="J42" s="160">
        <f>J40+J41</f>
        <v>1938479.8692606825</v>
      </c>
    </row>
    <row r="43" spans="1:10" ht="15.75" customHeight="1">
      <c r="A43" s="78" t="s">
        <v>365</v>
      </c>
      <c r="B43" s="80">
        <f>'3.Other Exp &amp; Taxes'!C86</f>
        <v>20000</v>
      </c>
      <c r="C43" s="80">
        <f>'3.Other Exp &amp; Taxes'!D86</f>
        <v>20000</v>
      </c>
      <c r="D43" s="80">
        <f>'3.Other Exp &amp; Taxes'!E86</f>
        <v>20000</v>
      </c>
      <c r="E43" s="80">
        <f>'3.Other Exp &amp; Taxes'!F86</f>
        <v>20000</v>
      </c>
      <c r="F43" s="80">
        <f>'3.Other Exp &amp; Taxes'!G86</f>
        <v>20000</v>
      </c>
      <c r="G43" s="80">
        <f>'3.Other Exp &amp; Taxes'!H86</f>
        <v>0</v>
      </c>
      <c r="H43" s="80">
        <f>'3.Other Exp &amp; Taxes'!I86</f>
        <v>0</v>
      </c>
    </row>
    <row r="44" spans="1:10" ht="15.75" customHeight="1">
      <c r="A44" s="78"/>
      <c r="B44" s="80"/>
      <c r="C44" s="80"/>
      <c r="D44" s="80"/>
      <c r="E44" s="80"/>
      <c r="F44" s="80"/>
      <c r="G44" s="80"/>
      <c r="H44" s="80"/>
    </row>
    <row r="45" spans="1:10" ht="15.75" customHeight="1">
      <c r="A45" s="81" t="s">
        <v>366</v>
      </c>
      <c r="B45" s="82">
        <f t="shared" ref="B45:H45" si="7">B40-B42-B43</f>
        <v>2575536.6656428659</v>
      </c>
      <c r="C45" s="82">
        <f t="shared" si="7"/>
        <v>3703900.6537380898</v>
      </c>
      <c r="D45" s="82">
        <f t="shared" si="7"/>
        <v>4982508.7460000003</v>
      </c>
      <c r="E45" s="82">
        <f t="shared" si="7"/>
        <v>5256901.8678749884</v>
      </c>
      <c r="F45" s="82">
        <f t="shared" si="7"/>
        <v>5545014.6458437527</v>
      </c>
      <c r="G45" s="82">
        <f t="shared" si="7"/>
        <v>5867533.0627109492</v>
      </c>
      <c r="H45" s="82">
        <f t="shared" si="7"/>
        <v>6185177.4004214788</v>
      </c>
    </row>
    <row r="46" spans="1:10" ht="15.75" customHeight="1">
      <c r="A46" s="78"/>
      <c r="B46" s="80"/>
      <c r="C46" s="80"/>
      <c r="D46" s="80"/>
      <c r="E46" s="80"/>
      <c r="F46" s="80"/>
      <c r="G46" s="80"/>
      <c r="H46" s="80"/>
    </row>
    <row r="47" spans="1:10" ht="15.75" customHeight="1">
      <c r="A47" s="78" t="s">
        <v>367</v>
      </c>
      <c r="B47" s="80">
        <f>'8.Cash Flow '!C26+'8.Cash Flow '!C28</f>
        <v>1142410.4878821834</v>
      </c>
      <c r="C47" s="80">
        <f>'8.Cash Flow '!D26+'8.Cash Flow '!D28</f>
        <v>1657210.816650776</v>
      </c>
      <c r="D47" s="80">
        <f>'8.Cash Flow '!E26+'8.Cash Flow '!E28</f>
        <v>1710420.0825673058</v>
      </c>
      <c r="E47" s="80">
        <f>'8.Cash Flow '!F26+'8.Cash Flow '!F28</f>
        <v>1754785.8401841382</v>
      </c>
      <c r="F47" s="80">
        <f>'8.Cash Flow '!G26+'8.Cash Flow '!G28</f>
        <v>1798559.1392533379</v>
      </c>
      <c r="G47" s="80">
        <f>'8.Cash Flow '!H26+'8.Cash Flow '!H28</f>
        <v>1841322.3825428151</v>
      </c>
      <c r="H47" s="80">
        <f>'8.Cash Flow '!I26+'8.Cash Flow '!I28</f>
        <v>1882583.5399027911</v>
      </c>
    </row>
    <row r="48" spans="1:10" ht="15.75" customHeight="1">
      <c r="A48" s="78"/>
      <c r="B48" s="80"/>
      <c r="C48" s="80"/>
      <c r="D48" s="80"/>
      <c r="E48" s="80"/>
      <c r="F48" s="80"/>
      <c r="G48" s="80"/>
      <c r="H48" s="80"/>
    </row>
    <row r="49" spans="1:9" ht="15.75" customHeight="1">
      <c r="A49" s="78" t="s">
        <v>368</v>
      </c>
      <c r="B49" s="80">
        <f t="shared" ref="B49:H49" si="8">B45-B47</f>
        <v>1433126.1777606825</v>
      </c>
      <c r="C49" s="80">
        <f t="shared" si="8"/>
        <v>2046689.8370873139</v>
      </c>
      <c r="D49" s="80">
        <f t="shared" si="8"/>
        <v>3272088.6634326945</v>
      </c>
      <c r="E49" s="80">
        <f t="shared" si="8"/>
        <v>3502116.0276908502</v>
      </c>
      <c r="F49" s="80">
        <f t="shared" si="8"/>
        <v>3746455.5065904148</v>
      </c>
      <c r="G49" s="80">
        <f t="shared" si="8"/>
        <v>4026210.6801681342</v>
      </c>
      <c r="H49" s="80">
        <f t="shared" si="8"/>
        <v>4302593.8605186874</v>
      </c>
    </row>
    <row r="50" spans="1:9" ht="15.75" customHeight="1">
      <c r="A50" s="78" t="s">
        <v>369</v>
      </c>
      <c r="B50" s="80">
        <f>'3.Other Exp &amp; Taxes'!B99</f>
        <v>184971.89600777745</v>
      </c>
      <c r="C50" s="80">
        <f>'3.Other Exp &amp; Taxes'!C99</f>
        <v>389126.13443270163</v>
      </c>
      <c r="D50" s="80">
        <f>'3.Other Exp &amp; Taxes'!D99</f>
        <v>744738.08758250077</v>
      </c>
      <c r="E50" s="80">
        <f>'3.Other Exp &amp; Taxes'!E99</f>
        <v>835637.47375962092</v>
      </c>
      <c r="F50" s="80">
        <f>'3.Other Exp &amp; Taxes'!F99</f>
        <v>925546.69574650784</v>
      </c>
      <c r="G50" s="80">
        <f>'3.Other Exp &amp; Taxes'!G99</f>
        <v>1020832.6087799149</v>
      </c>
      <c r="H50" s="80">
        <f>'3.Other Exp &amp; Taxes'!H99</f>
        <v>1112073.6350348138</v>
      </c>
    </row>
    <row r="51" spans="1:9" ht="15.75" customHeight="1">
      <c r="A51" s="81" t="s">
        <v>370</v>
      </c>
      <c r="B51" s="80">
        <f t="shared" ref="B51:H51" si="9">B49-B50</f>
        <v>1248154.2817529051</v>
      </c>
      <c r="C51" s="80">
        <f t="shared" si="9"/>
        <v>1657563.7026546123</v>
      </c>
      <c r="D51" s="80">
        <f>D49-D50</f>
        <v>2527350.5758501939</v>
      </c>
      <c r="E51" s="80">
        <f t="shared" si="9"/>
        <v>2666478.5539312293</v>
      </c>
      <c r="F51" s="80">
        <f t="shared" si="9"/>
        <v>2820908.8108439068</v>
      </c>
      <c r="G51" s="80">
        <f t="shared" si="9"/>
        <v>3005378.0713882195</v>
      </c>
      <c r="H51" s="80">
        <f t="shared" si="9"/>
        <v>3190520.2254838739</v>
      </c>
    </row>
    <row r="52" spans="1:9" ht="15.75" customHeight="1">
      <c r="A52" s="73"/>
      <c r="B52" s="120"/>
      <c r="C52" s="120"/>
      <c r="D52" s="120"/>
      <c r="E52" s="120"/>
      <c r="F52" s="120"/>
      <c r="G52" s="120"/>
      <c r="H52" s="120"/>
    </row>
    <row r="53" spans="1:9" ht="15.75" customHeight="1">
      <c r="A53" s="73" t="s">
        <v>371</v>
      </c>
      <c r="B53" s="120">
        <f>B51</f>
        <v>1248154.2817529051</v>
      </c>
      <c r="C53" s="120">
        <f t="shared" ref="C53:H53" si="10">B53+C51</f>
        <v>2905717.9844075171</v>
      </c>
      <c r="D53" s="120">
        <f t="shared" si="10"/>
        <v>5433068.5602577105</v>
      </c>
      <c r="E53" s="120">
        <f t="shared" si="10"/>
        <v>8099547.1141889393</v>
      </c>
      <c r="F53" s="120">
        <f t="shared" si="10"/>
        <v>10920455.925032847</v>
      </c>
      <c r="G53" s="120">
        <f t="shared" si="10"/>
        <v>13925833.996421065</v>
      </c>
      <c r="H53" s="120">
        <f t="shared" si="10"/>
        <v>17116354.221904941</v>
      </c>
    </row>
    <row r="54" spans="1:9" ht="15.75" customHeight="1"/>
    <row r="55" spans="1:9" ht="15.75" customHeight="1"/>
    <row r="56" spans="1:9" ht="32.25" customHeight="1">
      <c r="A56" s="421" t="s">
        <v>372</v>
      </c>
      <c r="B56" s="378"/>
      <c r="C56" s="378"/>
      <c r="D56" s="378"/>
      <c r="E56" s="378"/>
      <c r="F56" s="378"/>
      <c r="G56" s="378"/>
      <c r="H56" s="378"/>
      <c r="I56" s="378"/>
    </row>
    <row r="57" spans="1:9" ht="15.75" customHeight="1"/>
    <row r="58" spans="1:9" ht="15.75" customHeight="1">
      <c r="A58" s="162"/>
    </row>
    <row r="59" spans="1:9" ht="15.75" customHeight="1"/>
    <row r="60" spans="1:9" ht="15.75" customHeight="1"/>
    <row r="61" spans="1:9" ht="15.75" customHeight="1"/>
    <row r="62" spans="1:9" ht="15.75" customHeight="1"/>
    <row r="63" spans="1:9" ht="15.75" customHeight="1"/>
    <row r="64" spans="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ageMargins left="0.34" right="0.42" top="0.75" bottom="0.75" header="0" footer="0"/>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topLeftCell="A25" workbookViewId="0">
      <selection activeCell="A4" sqref="A4:H43"/>
    </sheetView>
  </sheetViews>
  <sheetFormatPr defaultColWidth="14.42578125" defaultRowHeight="15" customHeight="1"/>
  <cols>
    <col min="1" max="1" width="37.28515625" customWidth="1"/>
    <col min="2" max="2" width="18.42578125" customWidth="1"/>
    <col min="3" max="3" width="12.42578125" customWidth="1"/>
    <col min="4" max="6" width="13.5703125" customWidth="1"/>
    <col min="7" max="8" width="12.42578125" customWidth="1"/>
    <col min="9" max="9" width="9.140625" customWidth="1"/>
    <col min="10" max="10" width="32.85546875" customWidth="1"/>
    <col min="11" max="16" width="8.7109375" customWidth="1"/>
    <col min="17" max="17" width="10.140625" customWidth="1"/>
    <col min="18" max="18" width="9.140625" customWidth="1"/>
  </cols>
  <sheetData>
    <row r="1" spans="1:18">
      <c r="A1" s="409"/>
      <c r="B1" s="378"/>
      <c r="C1" s="378"/>
      <c r="D1" s="378"/>
      <c r="E1" s="378"/>
      <c r="F1" s="378"/>
      <c r="G1" s="163"/>
      <c r="H1" s="163"/>
      <c r="I1" s="163"/>
      <c r="J1" s="163"/>
      <c r="K1" s="163"/>
      <c r="L1" s="163"/>
      <c r="M1" s="163"/>
      <c r="N1" s="163"/>
      <c r="O1" s="163"/>
      <c r="P1" s="163"/>
      <c r="Q1" s="163"/>
      <c r="R1" s="163"/>
    </row>
    <row r="2" spans="1:18" ht="18.75">
      <c r="A2" s="422" t="s">
        <v>373</v>
      </c>
      <c r="B2" s="378"/>
      <c r="C2" s="378"/>
      <c r="D2" s="378"/>
      <c r="E2" s="378"/>
      <c r="F2" s="378"/>
      <c r="G2" s="378"/>
      <c r="H2" s="378"/>
      <c r="I2" s="164"/>
      <c r="J2" s="163"/>
      <c r="K2" s="163"/>
      <c r="L2" s="163"/>
      <c r="M2" s="163"/>
      <c r="N2" s="163"/>
      <c r="O2" s="163"/>
      <c r="P2" s="163"/>
      <c r="Q2" s="163"/>
      <c r="R2" s="163"/>
    </row>
    <row r="3" spans="1:18">
      <c r="A3" s="165"/>
      <c r="B3" s="166"/>
      <c r="C3" s="166"/>
      <c r="D3" s="166"/>
      <c r="E3" s="166"/>
      <c r="F3" s="166"/>
      <c r="G3" s="163"/>
      <c r="H3" s="163"/>
      <c r="I3" s="163"/>
      <c r="J3" s="163"/>
      <c r="K3" s="163"/>
      <c r="L3" s="163"/>
      <c r="M3" s="163"/>
      <c r="N3" s="163"/>
      <c r="O3" s="163"/>
      <c r="P3" s="163"/>
      <c r="Q3" s="163"/>
      <c r="R3" s="163"/>
    </row>
    <row r="4" spans="1:18">
      <c r="A4" s="167" t="s">
        <v>150</v>
      </c>
      <c r="B4" s="168" t="s">
        <v>153</v>
      </c>
      <c r="C4" s="168" t="s">
        <v>154</v>
      </c>
      <c r="D4" s="168" t="s">
        <v>155</v>
      </c>
      <c r="E4" s="168" t="s">
        <v>156</v>
      </c>
      <c r="F4" s="168" t="s">
        <v>157</v>
      </c>
      <c r="G4" s="77" t="s">
        <v>158</v>
      </c>
      <c r="H4" s="77" t="s">
        <v>159</v>
      </c>
      <c r="I4" s="163"/>
      <c r="J4" s="163"/>
      <c r="K4" s="163"/>
      <c r="L4" s="163"/>
      <c r="M4" s="163"/>
      <c r="N4" s="163"/>
      <c r="O4" s="163"/>
      <c r="P4" s="163"/>
      <c r="Q4" s="163"/>
      <c r="R4" s="163"/>
    </row>
    <row r="5" spans="1:18">
      <c r="A5" s="169"/>
      <c r="B5" s="170"/>
      <c r="C5" s="171"/>
      <c r="D5" s="171"/>
      <c r="E5" s="171"/>
      <c r="F5" s="171"/>
      <c r="G5" s="171"/>
      <c r="H5" s="171"/>
      <c r="I5" s="163"/>
      <c r="J5" s="163"/>
      <c r="K5" s="163"/>
      <c r="L5" s="163"/>
      <c r="M5" s="163"/>
      <c r="N5" s="163"/>
      <c r="O5" s="163"/>
      <c r="P5" s="163"/>
      <c r="Q5" s="163"/>
      <c r="R5" s="163"/>
    </row>
    <row r="6" spans="1:18">
      <c r="A6" s="172" t="s">
        <v>374</v>
      </c>
      <c r="B6" s="173"/>
      <c r="C6" s="173"/>
      <c r="D6" s="173"/>
      <c r="E6" s="173"/>
      <c r="F6" s="173"/>
      <c r="G6" s="173"/>
      <c r="H6" s="173"/>
      <c r="I6" s="163"/>
      <c r="J6" s="163"/>
      <c r="K6" s="163"/>
      <c r="L6" s="163"/>
      <c r="M6" s="163"/>
      <c r="N6" s="163"/>
      <c r="O6" s="163"/>
      <c r="P6" s="163"/>
      <c r="Q6" s="163"/>
      <c r="R6" s="163"/>
    </row>
    <row r="7" spans="1:18">
      <c r="A7" s="174" t="s">
        <v>375</v>
      </c>
      <c r="B7" s="175"/>
      <c r="C7" s="175"/>
      <c r="D7" s="175"/>
      <c r="E7" s="175"/>
      <c r="F7" s="175"/>
      <c r="G7" s="175"/>
      <c r="H7" s="175"/>
      <c r="I7" s="163"/>
      <c r="J7" s="163"/>
      <c r="K7" s="163"/>
      <c r="L7" s="163"/>
      <c r="M7" s="163"/>
      <c r="N7" s="163"/>
      <c r="O7" s="163"/>
      <c r="P7" s="163"/>
      <c r="Q7" s="163"/>
      <c r="R7" s="163"/>
    </row>
    <row r="8" spans="1:18">
      <c r="A8" s="174" t="s">
        <v>376</v>
      </c>
      <c r="B8" s="176">
        <f>'8.Cash Flow '!C33</f>
        <v>1574905.2357630134</v>
      </c>
      <c r="C8" s="176">
        <f>'8.Cash Flow '!D33</f>
        <v>3534566.913348943</v>
      </c>
      <c r="D8" s="176">
        <f>'8.Cash Flow '!E33</f>
        <v>6335959.5731702447</v>
      </c>
      <c r="E8" s="176">
        <f>'8.Cash Flow '!F33</f>
        <v>9244551.6958592832</v>
      </c>
      <c r="F8" s="176">
        <f>'8.Cash Flow '!G33</f>
        <v>12271238.388058573</v>
      </c>
      <c r="G8" s="176">
        <f>'8.Cash Flow '!H33</f>
        <v>15421043.148296416</v>
      </c>
      <c r="H8" s="176">
        <f>'8.Cash Flow '!I33</f>
        <v>18708931.062404901</v>
      </c>
      <c r="I8" s="163"/>
      <c r="J8" s="163"/>
      <c r="K8" s="177"/>
      <c r="L8" s="177"/>
      <c r="M8" s="177"/>
      <c r="N8" s="177"/>
      <c r="O8" s="177"/>
      <c r="P8" s="177"/>
      <c r="Q8" s="177"/>
      <c r="R8" s="177"/>
    </row>
    <row r="9" spans="1:18">
      <c r="A9" s="178" t="s">
        <v>377</v>
      </c>
      <c r="B9" s="179"/>
      <c r="C9" s="179"/>
      <c r="D9" s="179"/>
      <c r="E9" s="179"/>
      <c r="F9" s="179"/>
      <c r="G9" s="179"/>
      <c r="H9" s="179"/>
      <c r="I9" s="163"/>
      <c r="J9" s="163"/>
      <c r="K9" s="177"/>
      <c r="L9" s="177"/>
      <c r="M9" s="177"/>
      <c r="N9" s="177"/>
      <c r="O9" s="177"/>
      <c r="P9" s="177"/>
      <c r="Q9" s="177"/>
      <c r="R9" s="177"/>
    </row>
    <row r="10" spans="1:18">
      <c r="A10" s="178" t="s">
        <v>378</v>
      </c>
      <c r="B10" s="179"/>
      <c r="C10" s="179"/>
      <c r="D10" s="179"/>
      <c r="E10" s="179"/>
      <c r="F10" s="179"/>
      <c r="G10" s="179"/>
      <c r="H10" s="179"/>
      <c r="I10" s="163"/>
      <c r="J10" s="163"/>
      <c r="K10" s="177"/>
      <c r="L10" s="177"/>
      <c r="M10" s="177"/>
      <c r="N10" s="177"/>
      <c r="O10" s="177"/>
      <c r="P10" s="177"/>
      <c r="Q10" s="177"/>
      <c r="R10" s="177"/>
    </row>
    <row r="11" spans="1:18">
      <c r="A11" s="174" t="s">
        <v>379</v>
      </c>
      <c r="B11" s="176">
        <f t="shared" ref="B11:H11" si="0">SUM(B8:B10)</f>
        <v>1574905.2357630134</v>
      </c>
      <c r="C11" s="176">
        <f t="shared" si="0"/>
        <v>3534566.913348943</v>
      </c>
      <c r="D11" s="176">
        <f t="shared" si="0"/>
        <v>6335959.5731702447</v>
      </c>
      <c r="E11" s="176">
        <f t="shared" si="0"/>
        <v>9244551.6958592832</v>
      </c>
      <c r="F11" s="176">
        <f t="shared" si="0"/>
        <v>12271238.388058573</v>
      </c>
      <c r="G11" s="176">
        <f t="shared" si="0"/>
        <v>15421043.148296416</v>
      </c>
      <c r="H11" s="176">
        <f t="shared" si="0"/>
        <v>18708931.062404901</v>
      </c>
      <c r="I11" s="163"/>
      <c r="J11" s="163"/>
      <c r="K11" s="163"/>
      <c r="L11" s="163"/>
      <c r="M11" s="163"/>
      <c r="N11" s="163"/>
      <c r="O11" s="163"/>
      <c r="P11" s="163"/>
      <c r="Q11" s="163"/>
      <c r="R11" s="163"/>
    </row>
    <row r="12" spans="1:18">
      <c r="A12" s="174"/>
      <c r="B12" s="179"/>
      <c r="C12" s="179"/>
      <c r="D12" s="179"/>
      <c r="E12" s="179"/>
      <c r="F12" s="179"/>
      <c r="G12" s="179"/>
      <c r="H12" s="179"/>
      <c r="I12" s="163"/>
      <c r="J12" s="177"/>
      <c r="K12" s="177"/>
      <c r="L12" s="177"/>
      <c r="M12" s="177"/>
      <c r="N12" s="177"/>
      <c r="O12" s="177"/>
      <c r="P12" s="177"/>
      <c r="Q12" s="177"/>
      <c r="R12" s="163"/>
    </row>
    <row r="13" spans="1:18">
      <c r="A13" s="178" t="s">
        <v>380</v>
      </c>
      <c r="B13" s="179">
        <f>'3.Other Exp &amp; Taxes'!C65</f>
        <v>9424495</v>
      </c>
      <c r="C13" s="179">
        <f>'3.Other Exp &amp; Taxes'!D65</f>
        <v>8939141.3084999993</v>
      </c>
      <c r="D13" s="179">
        <f>'3.Other Exp &amp; Taxes'!E65</f>
        <v>8453787.6169999987</v>
      </c>
      <c r="E13" s="179">
        <f>'3.Other Exp &amp; Taxes'!F65</f>
        <v>7968433.9254999999</v>
      </c>
      <c r="F13" s="179">
        <f>'3.Other Exp &amp; Taxes'!G65</f>
        <v>7483080.2339999992</v>
      </c>
      <c r="G13" s="179">
        <f>'3.Other Exp &amp; Taxes'!H65</f>
        <v>6997726.5424999986</v>
      </c>
      <c r="H13" s="179">
        <f>'3.Other Exp &amp; Taxes'!I65</f>
        <v>6512372.8509999989</v>
      </c>
      <c r="I13" s="163"/>
      <c r="J13" s="163"/>
      <c r="K13" s="163"/>
      <c r="L13" s="163"/>
      <c r="M13" s="163"/>
      <c r="N13" s="163"/>
      <c r="O13" s="163"/>
      <c r="P13" s="163"/>
      <c r="Q13" s="163"/>
      <c r="R13" s="163"/>
    </row>
    <row r="14" spans="1:18">
      <c r="A14" s="178" t="s">
        <v>381</v>
      </c>
      <c r="B14" s="179">
        <f>'3.Other Exp &amp; Taxes'!C66</f>
        <v>485353.69149999996</v>
      </c>
      <c r="C14" s="179">
        <f>'3.Other Exp &amp; Taxes'!D66</f>
        <v>485353.69149999996</v>
      </c>
      <c r="D14" s="179">
        <f>'3.Other Exp &amp; Taxes'!E66</f>
        <v>485353.69149999996</v>
      </c>
      <c r="E14" s="179">
        <f>'3.Other Exp &amp; Taxes'!F66</f>
        <v>485353.69149999996</v>
      </c>
      <c r="F14" s="179">
        <f>'3.Other Exp &amp; Taxes'!G66</f>
        <v>485353.69149999996</v>
      </c>
      <c r="G14" s="179">
        <f>'3.Other Exp &amp; Taxes'!H66</f>
        <v>485353.69149999996</v>
      </c>
      <c r="H14" s="179">
        <f>'3.Other Exp &amp; Taxes'!I66</f>
        <v>485353.69149999996</v>
      </c>
      <c r="I14" s="163"/>
      <c r="J14" s="163"/>
      <c r="K14" s="177"/>
      <c r="L14" s="177"/>
      <c r="M14" s="177"/>
      <c r="N14" s="177"/>
      <c r="O14" s="177"/>
      <c r="P14" s="177"/>
      <c r="Q14" s="177"/>
      <c r="R14" s="163"/>
    </row>
    <row r="15" spans="1:18">
      <c r="A15" s="174" t="s">
        <v>181</v>
      </c>
      <c r="B15" s="176">
        <f t="shared" ref="B15:H15" si="1">B13-B14</f>
        <v>8939141.3084999993</v>
      </c>
      <c r="C15" s="176">
        <f t="shared" si="1"/>
        <v>8453787.6169999987</v>
      </c>
      <c r="D15" s="176">
        <f t="shared" si="1"/>
        <v>7968433.925499999</v>
      </c>
      <c r="E15" s="176">
        <f t="shared" si="1"/>
        <v>7483080.2340000002</v>
      </c>
      <c r="F15" s="176">
        <f t="shared" si="1"/>
        <v>6997726.5424999995</v>
      </c>
      <c r="G15" s="176">
        <f t="shared" si="1"/>
        <v>6512372.8509999989</v>
      </c>
      <c r="H15" s="176">
        <f t="shared" si="1"/>
        <v>6027019.1594999991</v>
      </c>
      <c r="I15" s="166"/>
      <c r="J15" s="166"/>
      <c r="K15" s="166"/>
      <c r="L15" s="166"/>
      <c r="M15" s="166"/>
      <c r="N15" s="166"/>
      <c r="O15" s="166"/>
      <c r="P15" s="166"/>
      <c r="Q15" s="166"/>
      <c r="R15" s="166"/>
    </row>
    <row r="16" spans="1:18">
      <c r="A16" s="174"/>
      <c r="B16" s="176"/>
      <c r="C16" s="176"/>
      <c r="D16" s="176"/>
      <c r="E16" s="176"/>
      <c r="F16" s="176"/>
      <c r="G16" s="176"/>
      <c r="H16" s="176"/>
      <c r="I16" s="166"/>
      <c r="J16" s="166"/>
      <c r="K16" s="166"/>
      <c r="L16" s="166"/>
      <c r="M16" s="166"/>
      <c r="N16" s="166"/>
      <c r="O16" s="166"/>
      <c r="P16" s="166"/>
      <c r="Q16" s="166"/>
      <c r="R16" s="166"/>
    </row>
    <row r="17" spans="1:18">
      <c r="A17" s="180"/>
      <c r="B17" s="176"/>
      <c r="C17" s="176"/>
      <c r="D17" s="176"/>
      <c r="E17" s="176"/>
      <c r="F17" s="176"/>
      <c r="G17" s="176"/>
      <c r="H17" s="176"/>
      <c r="I17" s="166"/>
      <c r="J17" s="166"/>
      <c r="K17" s="166"/>
      <c r="L17" s="166"/>
      <c r="M17" s="166"/>
      <c r="N17" s="166"/>
      <c r="O17" s="166"/>
      <c r="P17" s="166"/>
      <c r="Q17" s="166"/>
      <c r="R17" s="166"/>
    </row>
    <row r="18" spans="1:18">
      <c r="A18" s="174" t="s">
        <v>382</v>
      </c>
      <c r="B18" s="176">
        <f>'8.Cash Flow '!C20-'6.Cons Profit &amp; Loss'!B43</f>
        <v>80000</v>
      </c>
      <c r="C18" s="176">
        <f>B18-'6.Cons Profit &amp; Loss'!C43</f>
        <v>60000</v>
      </c>
      <c r="D18" s="176">
        <f>C18-'6.Cons Profit &amp; Loss'!D43</f>
        <v>40000</v>
      </c>
      <c r="E18" s="176">
        <f>D18-'6.Cons Profit &amp; Loss'!E43</f>
        <v>20000</v>
      </c>
      <c r="F18" s="176">
        <f>E18-'6.Cons Profit &amp; Loss'!F43</f>
        <v>0</v>
      </c>
      <c r="G18" s="176">
        <f>F18-'6.Cons Profit &amp; Loss'!G43</f>
        <v>0</v>
      </c>
      <c r="H18" s="176">
        <f>G18-'6.Cons Profit &amp; Loss'!H43</f>
        <v>0</v>
      </c>
      <c r="I18" s="166"/>
      <c r="J18" s="166"/>
      <c r="K18" s="166"/>
      <c r="L18" s="166"/>
      <c r="M18" s="166"/>
      <c r="N18" s="166"/>
      <c r="O18" s="166"/>
      <c r="P18" s="166"/>
      <c r="Q18" s="166"/>
      <c r="R18" s="166"/>
    </row>
    <row r="19" spans="1:18">
      <c r="A19" s="178"/>
      <c r="B19" s="179"/>
      <c r="C19" s="179"/>
      <c r="D19" s="179"/>
      <c r="E19" s="179"/>
      <c r="F19" s="179"/>
      <c r="G19" s="179"/>
      <c r="H19" s="179"/>
      <c r="I19" s="163"/>
      <c r="J19" s="163"/>
      <c r="K19" s="163"/>
      <c r="L19" s="163"/>
      <c r="M19" s="163"/>
      <c r="N19" s="163"/>
      <c r="O19" s="163"/>
      <c r="P19" s="163"/>
      <c r="Q19" s="163"/>
      <c r="R19" s="163"/>
    </row>
    <row r="20" spans="1:18">
      <c r="A20" s="180" t="s">
        <v>383</v>
      </c>
      <c r="B20" s="176">
        <f t="shared" ref="B20:H20" si="2">B11+B15+B17+B18</f>
        <v>10594046.544263013</v>
      </c>
      <c r="C20" s="176">
        <f t="shared" si="2"/>
        <v>12048354.530348942</v>
      </c>
      <c r="D20" s="176">
        <f t="shared" si="2"/>
        <v>14344393.498670243</v>
      </c>
      <c r="E20" s="176">
        <f t="shared" si="2"/>
        <v>16747631.929859284</v>
      </c>
      <c r="F20" s="176">
        <f t="shared" si="2"/>
        <v>19268964.930558573</v>
      </c>
      <c r="G20" s="176">
        <f t="shared" si="2"/>
        <v>21933415.999296416</v>
      </c>
      <c r="H20" s="176">
        <f t="shared" si="2"/>
        <v>24735950.2219049</v>
      </c>
      <c r="I20" s="163"/>
      <c r="J20" s="163"/>
      <c r="K20" s="163"/>
      <c r="L20" s="163"/>
      <c r="M20" s="163"/>
      <c r="N20" s="163"/>
      <c r="O20" s="163"/>
      <c r="P20" s="163"/>
      <c r="Q20" s="163"/>
      <c r="R20" s="163"/>
    </row>
    <row r="21" spans="1:18" ht="15.75" customHeight="1">
      <c r="A21" s="169"/>
      <c r="B21" s="179"/>
      <c r="C21" s="179"/>
      <c r="D21" s="179"/>
      <c r="E21" s="179"/>
      <c r="F21" s="179"/>
      <c r="G21" s="179"/>
      <c r="H21" s="179"/>
      <c r="I21" s="163"/>
      <c r="J21" s="163"/>
      <c r="K21" s="163"/>
      <c r="L21" s="163"/>
      <c r="M21" s="163"/>
      <c r="N21" s="163"/>
      <c r="O21" s="163"/>
      <c r="P21" s="163"/>
      <c r="Q21" s="163"/>
      <c r="R21" s="163"/>
    </row>
    <row r="22" spans="1:18" ht="15.75" customHeight="1">
      <c r="A22" s="172" t="s">
        <v>384</v>
      </c>
      <c r="B22" s="181"/>
      <c r="C22" s="181"/>
      <c r="D22" s="181"/>
      <c r="E22" s="181"/>
      <c r="F22" s="181"/>
      <c r="G22" s="181"/>
      <c r="H22" s="181"/>
      <c r="I22" s="163"/>
      <c r="J22" s="163"/>
      <c r="K22" s="163"/>
      <c r="L22" s="163"/>
      <c r="M22" s="163"/>
      <c r="N22" s="163"/>
      <c r="O22" s="163"/>
      <c r="P22" s="163"/>
      <c r="Q22" s="163"/>
      <c r="R22" s="163"/>
    </row>
    <row r="23" spans="1:18" ht="15.75" customHeight="1">
      <c r="A23" s="174" t="s">
        <v>385</v>
      </c>
      <c r="B23" s="181"/>
      <c r="C23" s="181"/>
      <c r="D23" s="181"/>
      <c r="E23" s="181"/>
      <c r="F23" s="181"/>
      <c r="G23" s="181"/>
      <c r="H23" s="181"/>
      <c r="I23" s="163"/>
      <c r="J23" s="163"/>
      <c r="K23" s="163"/>
      <c r="L23" s="163"/>
      <c r="M23" s="163"/>
      <c r="N23" s="163"/>
      <c r="O23" s="163"/>
      <c r="P23" s="163"/>
      <c r="Q23" s="163"/>
      <c r="R23" s="163"/>
    </row>
    <row r="24" spans="1:18" ht="15.75" customHeight="1">
      <c r="A24" s="178" t="s">
        <v>386</v>
      </c>
      <c r="B24" s="176"/>
      <c r="C24" s="176"/>
      <c r="D24" s="176"/>
      <c r="E24" s="176"/>
      <c r="F24" s="176"/>
      <c r="G24" s="176"/>
      <c r="H24" s="176"/>
      <c r="I24" s="163"/>
      <c r="J24" s="163"/>
      <c r="K24" s="163"/>
      <c r="L24" s="163"/>
      <c r="M24" s="163"/>
      <c r="N24" s="163"/>
      <c r="O24" s="163"/>
      <c r="P24" s="163"/>
      <c r="Q24" s="163"/>
      <c r="R24" s="163"/>
    </row>
    <row r="25" spans="1:18" ht="15.75" customHeight="1">
      <c r="A25" s="178" t="s">
        <v>387</v>
      </c>
      <c r="B25" s="179"/>
      <c r="C25" s="179"/>
      <c r="D25" s="179"/>
      <c r="E25" s="179"/>
      <c r="F25" s="179"/>
      <c r="G25" s="179"/>
      <c r="H25" s="179"/>
      <c r="I25" s="163"/>
      <c r="J25" s="163"/>
      <c r="K25" s="163"/>
      <c r="L25" s="163"/>
      <c r="M25" s="163"/>
      <c r="N25" s="163"/>
      <c r="O25" s="163"/>
      <c r="P25" s="163"/>
      <c r="Q25" s="163"/>
      <c r="R25" s="163"/>
    </row>
    <row r="26" spans="1:18" ht="15.75" customHeight="1">
      <c r="A26" s="178" t="s">
        <v>388</v>
      </c>
      <c r="B26" s="176"/>
      <c r="C26" s="176"/>
      <c r="D26" s="176"/>
      <c r="E26" s="176"/>
      <c r="F26" s="176"/>
      <c r="G26" s="176"/>
      <c r="H26" s="176"/>
      <c r="I26" s="163"/>
      <c r="J26" s="163"/>
      <c r="K26" s="163"/>
      <c r="L26" s="163"/>
      <c r="M26" s="163"/>
      <c r="N26" s="163"/>
      <c r="O26" s="163"/>
      <c r="P26" s="163"/>
      <c r="Q26" s="163"/>
      <c r="R26" s="163"/>
    </row>
    <row r="27" spans="1:18" ht="15.75" customHeight="1">
      <c r="A27" s="174" t="s">
        <v>389</v>
      </c>
      <c r="B27" s="176">
        <f t="shared" ref="B27:H27" si="3">SUM(B24:B26)</f>
        <v>0</v>
      </c>
      <c r="C27" s="176">
        <f t="shared" si="3"/>
        <v>0</v>
      </c>
      <c r="D27" s="176">
        <f t="shared" si="3"/>
        <v>0</v>
      </c>
      <c r="E27" s="176">
        <f t="shared" si="3"/>
        <v>0</v>
      </c>
      <c r="F27" s="176">
        <f t="shared" si="3"/>
        <v>0</v>
      </c>
      <c r="G27" s="176">
        <f t="shared" si="3"/>
        <v>0</v>
      </c>
      <c r="H27" s="176">
        <f t="shared" si="3"/>
        <v>0</v>
      </c>
      <c r="I27" s="163"/>
      <c r="J27" s="163"/>
      <c r="K27" s="163"/>
      <c r="L27" s="163"/>
      <c r="M27" s="163"/>
      <c r="N27" s="163"/>
      <c r="O27" s="163"/>
      <c r="P27" s="163"/>
      <c r="Q27" s="163"/>
      <c r="R27" s="163"/>
    </row>
    <row r="28" spans="1:18" ht="15.75" customHeight="1">
      <c r="A28" s="174" t="s">
        <v>390</v>
      </c>
      <c r="B28" s="176">
        <f>'4.TL repayment sch'!G21</f>
        <v>1726296.2625100813</v>
      </c>
      <c r="C28" s="176">
        <f>'4.TL repayment sch'!G33</f>
        <v>1523040.5459413968</v>
      </c>
      <c r="D28" s="176">
        <f>'4.TL repayment sch'!G45</f>
        <v>1291728.9384125296</v>
      </c>
      <c r="E28" s="176">
        <f>'4.TL repayment sch'!G57</f>
        <v>1028488.8156703576</v>
      </c>
      <c r="F28" s="176">
        <f>'4.TL repayment sch'!G69</f>
        <v>728913.00552574161</v>
      </c>
      <c r="G28" s="176">
        <f>'4.TL repayment sch'!G81</f>
        <v>387986.00287537626</v>
      </c>
      <c r="H28" s="176">
        <f>'[1]Term Loan'!J72+'[1]Term Loan'!S72</f>
        <v>0</v>
      </c>
      <c r="I28" s="163"/>
      <c r="J28" s="163"/>
      <c r="K28" s="163"/>
      <c r="L28" s="163"/>
      <c r="M28" s="163"/>
      <c r="N28" s="163"/>
      <c r="O28" s="163"/>
      <c r="P28" s="163"/>
      <c r="Q28" s="163"/>
      <c r="R28" s="163"/>
    </row>
    <row r="29" spans="1:18" ht="15.75" customHeight="1">
      <c r="A29" s="174" t="s">
        <v>391</v>
      </c>
      <c r="B29" s="176"/>
      <c r="C29" s="176"/>
      <c r="D29" s="176"/>
      <c r="E29" s="176"/>
      <c r="F29" s="176"/>
      <c r="G29" s="176"/>
      <c r="H29" s="176"/>
      <c r="I29" s="163"/>
      <c r="J29" s="163"/>
      <c r="K29" s="163"/>
      <c r="L29" s="163"/>
      <c r="M29" s="163"/>
      <c r="N29" s="163"/>
      <c r="O29" s="163"/>
      <c r="P29" s="163"/>
      <c r="Q29" s="163"/>
      <c r="R29" s="163"/>
    </row>
    <row r="30" spans="1:18" ht="15.75" customHeight="1">
      <c r="A30" s="174"/>
      <c r="B30" s="182"/>
      <c r="C30" s="182"/>
      <c r="D30" s="182"/>
      <c r="E30" s="182"/>
      <c r="F30" s="182"/>
      <c r="G30" s="182"/>
      <c r="H30" s="182"/>
      <c r="I30" s="163"/>
      <c r="J30" s="163"/>
      <c r="K30" s="163"/>
      <c r="L30" s="163"/>
      <c r="M30" s="163"/>
      <c r="N30" s="163"/>
      <c r="O30" s="163"/>
      <c r="P30" s="163"/>
      <c r="Q30" s="163"/>
      <c r="R30" s="163"/>
    </row>
    <row r="31" spans="1:18" ht="15.75" customHeight="1">
      <c r="A31" s="180" t="s">
        <v>392</v>
      </c>
      <c r="B31" s="176">
        <f t="shared" ref="B31:H31" si="4">SUM(B27:B29)</f>
        <v>1726296.2625100813</v>
      </c>
      <c r="C31" s="176">
        <f t="shared" si="4"/>
        <v>1523040.5459413968</v>
      </c>
      <c r="D31" s="176">
        <f t="shared" si="4"/>
        <v>1291728.9384125296</v>
      </c>
      <c r="E31" s="176">
        <f t="shared" si="4"/>
        <v>1028488.8156703576</v>
      </c>
      <c r="F31" s="176">
        <f t="shared" si="4"/>
        <v>728913.00552574161</v>
      </c>
      <c r="G31" s="176">
        <f t="shared" si="4"/>
        <v>387986.00287537626</v>
      </c>
      <c r="H31" s="176">
        <f t="shared" si="4"/>
        <v>0</v>
      </c>
      <c r="I31" s="163"/>
      <c r="J31" s="163"/>
      <c r="K31" s="163"/>
      <c r="L31" s="163"/>
      <c r="M31" s="163"/>
      <c r="N31" s="163"/>
      <c r="O31" s="163"/>
      <c r="P31" s="163"/>
      <c r="Q31" s="163"/>
      <c r="R31" s="163"/>
    </row>
    <row r="32" spans="1:18" ht="15.75" customHeight="1">
      <c r="A32" s="169"/>
      <c r="B32" s="179"/>
      <c r="C32" s="179"/>
      <c r="D32" s="179"/>
      <c r="E32" s="179"/>
      <c r="F32" s="179"/>
      <c r="G32" s="179"/>
      <c r="H32" s="179"/>
      <c r="I32" s="163"/>
      <c r="J32" s="163"/>
      <c r="K32" s="163"/>
      <c r="L32" s="163"/>
      <c r="M32" s="163"/>
      <c r="N32" s="163"/>
      <c r="O32" s="163"/>
      <c r="P32" s="163"/>
      <c r="Q32" s="163"/>
      <c r="R32" s="163"/>
    </row>
    <row r="33" spans="1:18" ht="15.75" customHeight="1">
      <c r="A33" s="178" t="s">
        <v>393</v>
      </c>
      <c r="B33" s="179">
        <f>'1.Project Cost and MOF'!E21</f>
        <v>1904899</v>
      </c>
      <c r="C33" s="179">
        <f t="shared" ref="C33:H33" si="5">B33</f>
        <v>1904899</v>
      </c>
      <c r="D33" s="179">
        <f t="shared" si="5"/>
        <v>1904899</v>
      </c>
      <c r="E33" s="179">
        <f t="shared" si="5"/>
        <v>1904899</v>
      </c>
      <c r="F33" s="179">
        <f t="shared" si="5"/>
        <v>1904899</v>
      </c>
      <c r="G33" s="179">
        <f t="shared" si="5"/>
        <v>1904899</v>
      </c>
      <c r="H33" s="179">
        <f t="shared" si="5"/>
        <v>1904899</v>
      </c>
      <c r="I33" s="163"/>
      <c r="J33" s="163"/>
      <c r="K33" s="163"/>
      <c r="L33" s="163"/>
      <c r="M33" s="163"/>
      <c r="N33" s="163"/>
      <c r="O33" s="163"/>
      <c r="P33" s="163"/>
      <c r="Q33" s="163"/>
      <c r="R33" s="163"/>
    </row>
    <row r="34" spans="1:18" ht="15.75" customHeight="1">
      <c r="A34" s="178" t="s">
        <v>394</v>
      </c>
      <c r="B34" s="179">
        <f>'1.Project Cost and MOF'!E19</f>
        <v>5714697</v>
      </c>
      <c r="C34" s="179">
        <f t="shared" ref="C34:H34" si="6">B34</f>
        <v>5714697</v>
      </c>
      <c r="D34" s="179">
        <f t="shared" si="6"/>
        <v>5714697</v>
      </c>
      <c r="E34" s="179">
        <f t="shared" si="6"/>
        <v>5714697</v>
      </c>
      <c r="F34" s="179">
        <f t="shared" si="6"/>
        <v>5714697</v>
      </c>
      <c r="G34" s="179">
        <f t="shared" si="6"/>
        <v>5714697</v>
      </c>
      <c r="H34" s="179">
        <f t="shared" si="6"/>
        <v>5714697</v>
      </c>
      <c r="I34" s="163"/>
      <c r="J34" s="163"/>
      <c r="K34" s="163"/>
      <c r="L34" s="163"/>
      <c r="M34" s="163"/>
      <c r="N34" s="163"/>
      <c r="O34" s="163"/>
      <c r="P34" s="163"/>
      <c r="Q34" s="163"/>
      <c r="R34" s="163"/>
    </row>
    <row r="35" spans="1:18" ht="15.75" customHeight="1">
      <c r="A35" s="174" t="s">
        <v>395</v>
      </c>
      <c r="B35" s="179"/>
      <c r="C35" s="179"/>
      <c r="D35" s="179"/>
      <c r="E35" s="179"/>
      <c r="F35" s="179"/>
      <c r="G35" s="179"/>
      <c r="H35" s="179"/>
      <c r="I35" s="163"/>
      <c r="J35" s="163"/>
      <c r="K35" s="163"/>
      <c r="L35" s="163"/>
      <c r="M35" s="163"/>
      <c r="N35" s="163"/>
      <c r="O35" s="163"/>
      <c r="P35" s="163"/>
      <c r="Q35" s="163"/>
      <c r="R35" s="163"/>
    </row>
    <row r="36" spans="1:18" ht="15.75" customHeight="1">
      <c r="A36" s="178" t="s">
        <v>396</v>
      </c>
      <c r="B36" s="179">
        <v>0</v>
      </c>
      <c r="C36" s="179">
        <f t="shared" ref="C36:H36" si="7">B39</f>
        <v>1248154.2817529051</v>
      </c>
      <c r="D36" s="179">
        <f t="shared" si="7"/>
        <v>2905717.9844075171</v>
      </c>
      <c r="E36" s="179">
        <f t="shared" si="7"/>
        <v>5433068.5602577105</v>
      </c>
      <c r="F36" s="179">
        <f t="shared" si="7"/>
        <v>8099547.1141889393</v>
      </c>
      <c r="G36" s="179">
        <f t="shared" si="7"/>
        <v>10920455.925032847</v>
      </c>
      <c r="H36" s="179">
        <f t="shared" si="7"/>
        <v>13925833.996421065</v>
      </c>
      <c r="I36" s="163"/>
      <c r="J36" s="163"/>
      <c r="K36" s="163"/>
      <c r="L36" s="163"/>
      <c r="M36" s="163"/>
      <c r="N36" s="163"/>
      <c r="O36" s="163"/>
      <c r="P36" s="163"/>
      <c r="Q36" s="163"/>
      <c r="R36" s="163"/>
    </row>
    <row r="37" spans="1:18" ht="15.75" customHeight="1">
      <c r="A37" s="178" t="s">
        <v>397</v>
      </c>
      <c r="B37" s="179">
        <f>'6.Cons Profit &amp; Loss'!B53</f>
        <v>1248154.2817529051</v>
      </c>
      <c r="C37" s="179">
        <f>'6.Cons Profit &amp; Loss'!C51</f>
        <v>1657563.7026546123</v>
      </c>
      <c r="D37" s="179">
        <f>'6.Cons Profit &amp; Loss'!D51</f>
        <v>2527350.5758501939</v>
      </c>
      <c r="E37" s="179">
        <f>'6.Cons Profit &amp; Loss'!E51</f>
        <v>2666478.5539312293</v>
      </c>
      <c r="F37" s="179">
        <f>'6.Cons Profit &amp; Loss'!F51</f>
        <v>2820908.8108439068</v>
      </c>
      <c r="G37" s="179">
        <f>'6.Cons Profit &amp; Loss'!G51</f>
        <v>3005378.0713882195</v>
      </c>
      <c r="H37" s="179">
        <f>'6.Cons Profit &amp; Loss'!H51</f>
        <v>3190520.2254838739</v>
      </c>
      <c r="I37" s="163"/>
      <c r="J37" s="163"/>
      <c r="K37" s="163"/>
      <c r="L37" s="163"/>
      <c r="M37" s="163"/>
      <c r="N37" s="163"/>
      <c r="O37" s="163"/>
      <c r="P37" s="163"/>
      <c r="Q37" s="163"/>
      <c r="R37" s="163"/>
    </row>
    <row r="38" spans="1:18" ht="15.75" customHeight="1">
      <c r="A38" s="178" t="s">
        <v>398</v>
      </c>
      <c r="B38" s="179"/>
      <c r="C38" s="179"/>
      <c r="D38" s="179"/>
      <c r="E38" s="179"/>
      <c r="F38" s="179"/>
      <c r="G38" s="179"/>
      <c r="H38" s="179"/>
      <c r="I38" s="163"/>
      <c r="J38" s="163"/>
      <c r="K38" s="163"/>
      <c r="L38" s="163"/>
      <c r="M38" s="163"/>
      <c r="N38" s="163"/>
      <c r="O38" s="163"/>
      <c r="P38" s="163"/>
      <c r="Q38" s="163"/>
      <c r="R38" s="163"/>
    </row>
    <row r="39" spans="1:18" ht="15.75" customHeight="1">
      <c r="A39" s="178" t="s">
        <v>399</v>
      </c>
      <c r="B39" s="179">
        <f t="shared" ref="B39:H39" si="8">B36+B37-B38</f>
        <v>1248154.2817529051</v>
      </c>
      <c r="C39" s="179">
        <f t="shared" si="8"/>
        <v>2905717.9844075171</v>
      </c>
      <c r="D39" s="179">
        <f t="shared" si="8"/>
        <v>5433068.5602577105</v>
      </c>
      <c r="E39" s="179">
        <f t="shared" si="8"/>
        <v>8099547.1141889393</v>
      </c>
      <c r="F39" s="179">
        <f t="shared" si="8"/>
        <v>10920455.925032847</v>
      </c>
      <c r="G39" s="179">
        <f t="shared" si="8"/>
        <v>13925833.996421065</v>
      </c>
      <c r="H39" s="179">
        <f t="shared" si="8"/>
        <v>17116354.221904941</v>
      </c>
      <c r="I39" s="163"/>
      <c r="J39" s="163"/>
      <c r="K39" s="163"/>
      <c r="L39" s="163"/>
      <c r="M39" s="163"/>
      <c r="N39" s="163"/>
      <c r="O39" s="163"/>
      <c r="P39" s="163"/>
      <c r="Q39" s="163"/>
      <c r="R39" s="163"/>
    </row>
    <row r="40" spans="1:18" ht="15.75" customHeight="1">
      <c r="A40" s="178"/>
      <c r="B40" s="181"/>
      <c r="C40" s="181"/>
      <c r="D40" s="181"/>
      <c r="E40" s="181"/>
      <c r="F40" s="181"/>
      <c r="G40" s="181"/>
      <c r="H40" s="181"/>
      <c r="I40" s="163"/>
      <c r="J40" s="163"/>
      <c r="K40" s="163"/>
      <c r="L40" s="163"/>
      <c r="M40" s="163"/>
      <c r="N40" s="163"/>
      <c r="O40" s="163"/>
      <c r="P40" s="163"/>
      <c r="Q40" s="163"/>
      <c r="R40" s="163"/>
    </row>
    <row r="41" spans="1:18" ht="15.75" customHeight="1">
      <c r="A41" s="183" t="s">
        <v>400</v>
      </c>
      <c r="B41" s="184">
        <f t="shared" ref="B41:H41" si="9">B33+B39+B34</f>
        <v>8867750.2817529049</v>
      </c>
      <c r="C41" s="184">
        <f t="shared" si="9"/>
        <v>10525313.984407518</v>
      </c>
      <c r="D41" s="184">
        <f t="shared" si="9"/>
        <v>13052664.560257711</v>
      </c>
      <c r="E41" s="184">
        <f t="shared" si="9"/>
        <v>15719143.114188939</v>
      </c>
      <c r="F41" s="184">
        <f t="shared" si="9"/>
        <v>18540051.925032847</v>
      </c>
      <c r="G41" s="184">
        <f t="shared" si="9"/>
        <v>21545429.996421065</v>
      </c>
      <c r="H41" s="184">
        <f t="shared" si="9"/>
        <v>24735950.221904941</v>
      </c>
      <c r="I41" s="163"/>
      <c r="J41" s="163"/>
      <c r="K41" s="163"/>
      <c r="L41" s="163"/>
      <c r="M41" s="163"/>
      <c r="N41" s="163"/>
      <c r="O41" s="163"/>
      <c r="P41" s="163"/>
      <c r="Q41" s="163"/>
      <c r="R41" s="163"/>
    </row>
    <row r="42" spans="1:18" ht="15.75" customHeight="1">
      <c r="A42" s="169"/>
      <c r="B42" s="179"/>
      <c r="C42" s="179"/>
      <c r="D42" s="179"/>
      <c r="E42" s="179"/>
      <c r="F42" s="179"/>
      <c r="G42" s="179"/>
      <c r="H42" s="179"/>
      <c r="I42" s="163"/>
      <c r="J42" s="163"/>
      <c r="K42" s="163"/>
      <c r="L42" s="163"/>
      <c r="M42" s="163"/>
      <c r="N42" s="163"/>
      <c r="O42" s="163"/>
      <c r="P42" s="163"/>
      <c r="Q42" s="163"/>
      <c r="R42" s="163"/>
    </row>
    <row r="43" spans="1:18" ht="15.75" customHeight="1">
      <c r="A43" s="180" t="s">
        <v>401</v>
      </c>
      <c r="B43" s="176">
        <f t="shared" ref="B43:H43" si="10">B31+B41</f>
        <v>10594046.544262987</v>
      </c>
      <c r="C43" s="176">
        <f t="shared" si="10"/>
        <v>12048354.530348916</v>
      </c>
      <c r="D43" s="176">
        <f t="shared" si="10"/>
        <v>14344393.498670241</v>
      </c>
      <c r="E43" s="176">
        <f t="shared" si="10"/>
        <v>16747631.929859297</v>
      </c>
      <c r="F43" s="176">
        <f t="shared" si="10"/>
        <v>19268964.930558588</v>
      </c>
      <c r="G43" s="176">
        <f t="shared" si="10"/>
        <v>21933415.999296442</v>
      </c>
      <c r="H43" s="176">
        <f t="shared" si="10"/>
        <v>24735950.221904941</v>
      </c>
      <c r="I43" s="163"/>
      <c r="J43" s="163"/>
      <c r="K43" s="163"/>
      <c r="L43" s="163"/>
      <c r="M43" s="163"/>
      <c r="N43" s="163"/>
      <c r="O43" s="163"/>
      <c r="P43" s="163"/>
      <c r="Q43" s="163"/>
      <c r="R43" s="163"/>
    </row>
    <row r="44" spans="1:18" ht="15.75" customHeight="1">
      <c r="A44" s="169"/>
      <c r="B44" s="173"/>
      <c r="C44" s="173"/>
      <c r="D44" s="173"/>
      <c r="E44" s="173"/>
      <c r="F44" s="173"/>
      <c r="G44" s="173"/>
      <c r="H44" s="173"/>
      <c r="I44" s="163"/>
      <c r="J44" s="163"/>
      <c r="K44" s="163"/>
      <c r="L44" s="163"/>
      <c r="M44" s="163"/>
      <c r="N44" s="163"/>
      <c r="O44" s="163"/>
      <c r="P44" s="163"/>
      <c r="Q44" s="163"/>
      <c r="R44" s="163"/>
    </row>
    <row r="45" spans="1:18" ht="15.75" customHeight="1">
      <c r="A45" s="185" t="s">
        <v>402</v>
      </c>
      <c r="B45" s="186"/>
      <c r="C45" s="186"/>
      <c r="D45" s="186"/>
      <c r="E45" s="186"/>
      <c r="F45" s="186"/>
      <c r="G45" s="186"/>
      <c r="H45" s="186"/>
      <c r="I45" s="163"/>
      <c r="J45" s="163"/>
      <c r="K45" s="163"/>
      <c r="L45" s="163"/>
      <c r="M45" s="163"/>
      <c r="N45" s="163"/>
      <c r="O45" s="163"/>
      <c r="P45" s="163"/>
      <c r="Q45" s="163"/>
      <c r="R45" s="163"/>
    </row>
    <row r="46" spans="1:18" ht="15.75" customHeight="1">
      <c r="A46" s="187" t="s">
        <v>403</v>
      </c>
      <c r="B46" s="188">
        <f t="shared" ref="B46:H46" si="11">B43-B20</f>
        <v>-2.6077032089233398E-8</v>
      </c>
      <c r="C46" s="188">
        <f t="shared" si="11"/>
        <v>-2.6077032089233398E-8</v>
      </c>
      <c r="D46" s="188">
        <f t="shared" si="11"/>
        <v>0</v>
      </c>
      <c r="E46" s="188">
        <f t="shared" si="11"/>
        <v>0</v>
      </c>
      <c r="F46" s="188">
        <f t="shared" si="11"/>
        <v>0</v>
      </c>
      <c r="G46" s="188">
        <f t="shared" si="11"/>
        <v>0</v>
      </c>
      <c r="H46" s="188">
        <f t="shared" si="11"/>
        <v>4.0978193283081055E-8</v>
      </c>
      <c r="I46" s="163"/>
      <c r="J46" s="163"/>
      <c r="K46" s="163"/>
      <c r="L46" s="163"/>
      <c r="M46" s="163"/>
      <c r="N46" s="163"/>
      <c r="O46" s="163"/>
      <c r="P46" s="163"/>
      <c r="Q46" s="163"/>
      <c r="R46" s="163"/>
    </row>
    <row r="47" spans="1:18" ht="15.75" customHeight="1">
      <c r="A47" s="187"/>
      <c r="B47" s="188"/>
      <c r="C47" s="188"/>
      <c r="D47" s="188"/>
      <c r="E47" s="188"/>
      <c r="F47" s="188"/>
      <c r="G47" s="188"/>
      <c r="H47" s="188"/>
      <c r="I47" s="163"/>
      <c r="J47" s="163"/>
      <c r="K47" s="163"/>
      <c r="L47" s="163"/>
      <c r="M47" s="163"/>
      <c r="N47" s="163"/>
      <c r="O47" s="163"/>
      <c r="P47" s="163"/>
      <c r="Q47" s="163"/>
      <c r="R47" s="163"/>
    </row>
    <row r="48" spans="1:18" ht="15.75" customHeight="1">
      <c r="A48" s="189"/>
      <c r="B48" s="190"/>
      <c r="C48" s="190"/>
      <c r="D48" s="190"/>
      <c r="E48" s="190"/>
      <c r="F48" s="190"/>
      <c r="G48" s="190"/>
      <c r="H48" s="190"/>
      <c r="I48" s="163"/>
      <c r="J48" s="163"/>
      <c r="K48" s="163"/>
      <c r="L48" s="163"/>
      <c r="M48" s="163"/>
      <c r="N48" s="163"/>
      <c r="O48" s="163"/>
      <c r="P48" s="163"/>
      <c r="Q48" s="163"/>
      <c r="R48" s="163"/>
    </row>
    <row r="49" spans="1:18" ht="15.75" customHeight="1">
      <c r="A49" s="163"/>
      <c r="B49" s="191"/>
      <c r="C49" s="191"/>
      <c r="D49" s="191"/>
      <c r="E49" s="191"/>
      <c r="F49" s="191"/>
      <c r="G49" s="191"/>
      <c r="H49" s="191"/>
      <c r="I49" s="163"/>
      <c r="J49" s="163"/>
      <c r="K49" s="163"/>
      <c r="L49" s="163"/>
      <c r="M49" s="163"/>
      <c r="N49" s="163"/>
      <c r="O49" s="163"/>
      <c r="P49" s="163"/>
      <c r="Q49" s="163"/>
      <c r="R49" s="163"/>
    </row>
    <row r="50" spans="1:18" ht="39" customHeight="1">
      <c r="A50" s="423" t="s">
        <v>404</v>
      </c>
      <c r="B50" s="378"/>
      <c r="C50" s="378"/>
      <c r="D50" s="378"/>
      <c r="E50" s="378"/>
      <c r="F50" s="378"/>
      <c r="G50" s="378"/>
      <c r="H50" s="378"/>
      <c r="I50" s="378"/>
      <c r="J50" s="163"/>
      <c r="K50" s="163"/>
      <c r="L50" s="163"/>
      <c r="M50" s="163"/>
      <c r="N50" s="163"/>
      <c r="O50" s="163"/>
      <c r="P50" s="163"/>
      <c r="Q50" s="163"/>
      <c r="R50" s="163"/>
    </row>
    <row r="51" spans="1:18" ht="15.75" customHeight="1">
      <c r="A51" s="163"/>
      <c r="B51" s="163"/>
      <c r="C51" s="163"/>
      <c r="D51" s="163"/>
      <c r="E51" s="163"/>
      <c r="F51" s="163"/>
      <c r="G51" s="163"/>
      <c r="H51" s="163"/>
      <c r="I51" s="163"/>
      <c r="J51" s="163"/>
      <c r="K51" s="163"/>
      <c r="L51" s="163"/>
      <c r="M51" s="163"/>
      <c r="N51" s="163"/>
      <c r="O51" s="163"/>
      <c r="P51" s="163"/>
      <c r="Q51" s="163"/>
      <c r="R51" s="163"/>
    </row>
    <row r="52" spans="1:18" ht="15.75" customHeight="1">
      <c r="A52" s="163"/>
      <c r="B52" s="163"/>
      <c r="C52" s="163"/>
      <c r="D52" s="163"/>
      <c r="E52" s="163"/>
      <c r="F52" s="163"/>
      <c r="G52" s="163"/>
      <c r="H52" s="163"/>
      <c r="I52" s="163"/>
      <c r="J52" s="163"/>
      <c r="K52" s="163"/>
      <c r="L52" s="163"/>
      <c r="M52" s="163"/>
      <c r="N52" s="163"/>
      <c r="O52" s="163"/>
      <c r="P52" s="163"/>
      <c r="Q52" s="163"/>
      <c r="R52" s="163"/>
    </row>
    <row r="53" spans="1:18" ht="15.75" customHeight="1">
      <c r="A53" s="163"/>
      <c r="B53" s="163"/>
      <c r="C53" s="163"/>
      <c r="D53" s="163"/>
      <c r="E53" s="163"/>
      <c r="F53" s="163"/>
      <c r="G53" s="163"/>
      <c r="H53" s="163"/>
      <c r="I53" s="163"/>
      <c r="J53" s="163"/>
      <c r="K53" s="163"/>
      <c r="L53" s="163"/>
      <c r="M53" s="163"/>
      <c r="N53" s="163"/>
      <c r="O53" s="163"/>
      <c r="P53" s="163"/>
      <c r="Q53" s="163"/>
      <c r="R53" s="163"/>
    </row>
    <row r="54" spans="1:18" ht="15.75" customHeight="1">
      <c r="A54" s="163"/>
      <c r="B54" s="163"/>
      <c r="C54" s="163"/>
      <c r="D54" s="163"/>
      <c r="E54" s="163"/>
      <c r="F54" s="163"/>
      <c r="G54" s="163"/>
      <c r="H54" s="163"/>
      <c r="I54" s="163"/>
      <c r="J54" s="163"/>
      <c r="K54" s="163"/>
      <c r="L54" s="163"/>
      <c r="M54" s="163"/>
      <c r="N54" s="163"/>
      <c r="O54" s="163"/>
      <c r="P54" s="163"/>
      <c r="Q54" s="163"/>
      <c r="R54" s="163"/>
    </row>
    <row r="55" spans="1:18" ht="15.75" customHeight="1">
      <c r="A55" s="163"/>
      <c r="B55" s="163"/>
      <c r="C55" s="163"/>
      <c r="D55" s="163"/>
      <c r="E55" s="163"/>
      <c r="F55" s="163"/>
      <c r="G55" s="163"/>
      <c r="H55" s="163"/>
      <c r="I55" s="163"/>
      <c r="J55" s="163"/>
      <c r="K55" s="163"/>
      <c r="L55" s="163"/>
      <c r="M55" s="163"/>
      <c r="N55" s="163"/>
      <c r="O55" s="163"/>
      <c r="P55" s="163"/>
      <c r="Q55" s="163"/>
      <c r="R55" s="163"/>
    </row>
    <row r="56" spans="1:18" ht="15.75" customHeight="1">
      <c r="A56" s="163"/>
      <c r="B56" s="163"/>
      <c r="C56" s="163"/>
      <c r="D56" s="163"/>
      <c r="E56" s="163"/>
      <c r="F56" s="163"/>
      <c r="G56" s="163"/>
      <c r="H56" s="163"/>
      <c r="I56" s="163"/>
      <c r="J56" s="163"/>
      <c r="K56" s="163"/>
      <c r="L56" s="163"/>
      <c r="M56" s="163"/>
      <c r="N56" s="163"/>
      <c r="O56" s="163"/>
      <c r="P56" s="163"/>
      <c r="Q56" s="163"/>
      <c r="R56" s="163"/>
    </row>
    <row r="57" spans="1:18" ht="15.75" customHeight="1">
      <c r="A57" s="163"/>
      <c r="B57" s="163"/>
      <c r="C57" s="163"/>
      <c r="D57" s="163"/>
      <c r="E57" s="163"/>
      <c r="F57" s="163"/>
      <c r="G57" s="163"/>
      <c r="H57" s="163"/>
      <c r="I57" s="163"/>
      <c r="J57" s="163"/>
      <c r="K57" s="163"/>
      <c r="L57" s="163"/>
      <c r="M57" s="163"/>
      <c r="N57" s="163"/>
      <c r="O57" s="163"/>
      <c r="P57" s="163"/>
      <c r="Q57" s="163"/>
      <c r="R57" s="163"/>
    </row>
    <row r="58" spans="1:18" ht="15.75" customHeight="1">
      <c r="A58" s="163"/>
      <c r="B58" s="163"/>
      <c r="C58" s="163"/>
      <c r="D58" s="163"/>
      <c r="E58" s="163"/>
      <c r="F58" s="163"/>
      <c r="G58" s="163"/>
      <c r="H58" s="163"/>
      <c r="I58" s="163"/>
      <c r="J58" s="163"/>
      <c r="K58" s="163"/>
      <c r="L58" s="163"/>
      <c r="M58" s="163"/>
      <c r="N58" s="163"/>
      <c r="O58" s="163"/>
      <c r="P58" s="163"/>
      <c r="Q58" s="163"/>
      <c r="R58" s="163"/>
    </row>
    <row r="59" spans="1:18" ht="15.75" customHeight="1">
      <c r="A59" s="163"/>
      <c r="B59" s="163"/>
      <c r="C59" s="163"/>
      <c r="D59" s="163"/>
      <c r="E59" s="163"/>
      <c r="F59" s="163"/>
      <c r="G59" s="163"/>
      <c r="H59" s="163"/>
      <c r="I59" s="163"/>
      <c r="J59" s="163"/>
      <c r="K59" s="163"/>
      <c r="L59" s="163"/>
      <c r="M59" s="163"/>
      <c r="N59" s="163"/>
      <c r="O59" s="163"/>
      <c r="P59" s="163"/>
      <c r="Q59" s="163"/>
      <c r="R59" s="163"/>
    </row>
    <row r="60" spans="1:18" ht="15.75" customHeight="1">
      <c r="A60" s="163"/>
      <c r="B60" s="163"/>
      <c r="C60" s="163"/>
      <c r="D60" s="163"/>
      <c r="E60" s="163"/>
      <c r="F60" s="163"/>
      <c r="G60" s="163"/>
      <c r="H60" s="163"/>
      <c r="I60" s="163"/>
      <c r="J60" s="163"/>
      <c r="K60" s="163"/>
      <c r="L60" s="163"/>
      <c r="M60" s="163"/>
      <c r="N60" s="163"/>
      <c r="O60" s="163"/>
      <c r="P60" s="163"/>
      <c r="Q60" s="163"/>
      <c r="R60" s="163"/>
    </row>
    <row r="61" spans="1:18" ht="15.75" customHeight="1">
      <c r="A61" s="163"/>
      <c r="B61" s="163"/>
      <c r="C61" s="163"/>
      <c r="D61" s="163"/>
      <c r="E61" s="163"/>
      <c r="F61" s="163"/>
      <c r="G61" s="163"/>
      <c r="H61" s="163"/>
      <c r="I61" s="163"/>
      <c r="J61" s="163"/>
      <c r="K61" s="163"/>
      <c r="L61" s="163"/>
      <c r="M61" s="163"/>
      <c r="N61" s="163"/>
      <c r="O61" s="163"/>
      <c r="P61" s="163"/>
      <c r="Q61" s="163"/>
      <c r="R61" s="163"/>
    </row>
    <row r="62" spans="1:18" ht="15.75" customHeight="1">
      <c r="A62" s="163"/>
      <c r="B62" s="163"/>
      <c r="C62" s="163"/>
      <c r="D62" s="163"/>
      <c r="E62" s="163"/>
      <c r="F62" s="163"/>
      <c r="G62" s="163"/>
      <c r="H62" s="163"/>
      <c r="I62" s="163"/>
      <c r="J62" s="163"/>
      <c r="K62" s="163"/>
      <c r="L62" s="163"/>
      <c r="M62" s="163"/>
      <c r="N62" s="163"/>
      <c r="O62" s="163"/>
      <c r="P62" s="163"/>
      <c r="Q62" s="163"/>
      <c r="R62" s="163"/>
    </row>
    <row r="63" spans="1:18" ht="15.75" customHeight="1">
      <c r="A63" s="163"/>
      <c r="B63" s="163"/>
      <c r="C63" s="163"/>
      <c r="D63" s="163"/>
      <c r="E63" s="163"/>
      <c r="F63" s="163"/>
      <c r="G63" s="163"/>
      <c r="H63" s="163"/>
      <c r="I63" s="163"/>
      <c r="J63" s="163"/>
      <c r="K63" s="163"/>
      <c r="L63" s="163"/>
      <c r="M63" s="163"/>
      <c r="N63" s="163"/>
      <c r="O63" s="163"/>
      <c r="P63" s="163"/>
      <c r="Q63" s="163"/>
      <c r="R63" s="163"/>
    </row>
    <row r="64" spans="1:18" ht="15.75" customHeight="1">
      <c r="A64" s="163"/>
      <c r="B64" s="163"/>
      <c r="C64" s="163"/>
      <c r="D64" s="163"/>
      <c r="E64" s="163"/>
      <c r="F64" s="163"/>
      <c r="G64" s="163"/>
      <c r="H64" s="163"/>
      <c r="I64" s="163"/>
      <c r="J64" s="163"/>
      <c r="K64" s="163"/>
      <c r="L64" s="163"/>
      <c r="M64" s="163"/>
      <c r="N64" s="163"/>
      <c r="O64" s="163"/>
      <c r="P64" s="163"/>
      <c r="Q64" s="163"/>
      <c r="R64" s="163"/>
    </row>
    <row r="65" spans="1:18" ht="15.75" customHeight="1">
      <c r="A65" s="163"/>
      <c r="B65" s="163"/>
      <c r="C65" s="163"/>
      <c r="D65" s="163"/>
      <c r="E65" s="163"/>
      <c r="F65" s="163"/>
      <c r="G65" s="163"/>
      <c r="H65" s="163"/>
      <c r="I65" s="163"/>
      <c r="J65" s="163"/>
      <c r="K65" s="163"/>
      <c r="L65" s="163"/>
      <c r="M65" s="163"/>
      <c r="N65" s="163"/>
      <c r="O65" s="163"/>
      <c r="P65" s="163"/>
      <c r="Q65" s="163"/>
      <c r="R65" s="163"/>
    </row>
    <row r="66" spans="1:18" ht="15.75" customHeight="1">
      <c r="A66" s="163"/>
      <c r="B66" s="163"/>
      <c r="C66" s="163"/>
      <c r="D66" s="163"/>
      <c r="E66" s="163"/>
      <c r="F66" s="163"/>
      <c r="G66" s="163"/>
      <c r="H66" s="163"/>
      <c r="I66" s="163"/>
      <c r="J66" s="163"/>
      <c r="K66" s="163"/>
      <c r="L66" s="163"/>
      <c r="M66" s="163"/>
      <c r="N66" s="163"/>
      <c r="O66" s="163"/>
      <c r="P66" s="163"/>
      <c r="Q66" s="163"/>
      <c r="R66" s="163"/>
    </row>
    <row r="67" spans="1:18" ht="15.75" customHeight="1">
      <c r="A67" s="163"/>
      <c r="B67" s="163"/>
      <c r="C67" s="163"/>
      <c r="D67" s="163"/>
      <c r="E67" s="163"/>
      <c r="F67" s="163"/>
      <c r="G67" s="163"/>
      <c r="H67" s="163"/>
      <c r="I67" s="163"/>
      <c r="J67" s="163"/>
      <c r="K67" s="163"/>
      <c r="L67" s="163"/>
      <c r="M67" s="163"/>
      <c r="N67" s="163"/>
      <c r="O67" s="163"/>
      <c r="P67" s="163"/>
      <c r="Q67" s="163"/>
      <c r="R67" s="163"/>
    </row>
    <row r="68" spans="1:18" ht="15.75" customHeight="1">
      <c r="A68" s="163"/>
      <c r="B68" s="163"/>
      <c r="C68" s="163"/>
      <c r="D68" s="163"/>
      <c r="E68" s="163"/>
      <c r="F68" s="163"/>
      <c r="G68" s="163"/>
      <c r="H68" s="163"/>
      <c r="I68" s="163"/>
      <c r="J68" s="163"/>
      <c r="K68" s="163"/>
      <c r="L68" s="163"/>
      <c r="M68" s="163"/>
      <c r="N68" s="163"/>
      <c r="O68" s="163"/>
      <c r="P68" s="163"/>
      <c r="Q68" s="163"/>
      <c r="R68" s="163"/>
    </row>
    <row r="69" spans="1:18" ht="15.75" customHeight="1">
      <c r="A69" s="163"/>
      <c r="B69" s="163"/>
      <c r="C69" s="163"/>
      <c r="D69" s="163"/>
      <c r="E69" s="163"/>
      <c r="F69" s="163"/>
      <c r="G69" s="163"/>
      <c r="H69" s="163"/>
      <c r="I69" s="163"/>
      <c r="J69" s="163"/>
      <c r="K69" s="163"/>
      <c r="L69" s="163"/>
      <c r="M69" s="163"/>
      <c r="N69" s="163"/>
      <c r="O69" s="163"/>
      <c r="P69" s="163"/>
      <c r="Q69" s="163"/>
      <c r="R69" s="163"/>
    </row>
    <row r="70" spans="1:18" ht="15.75" customHeight="1">
      <c r="A70" s="163"/>
      <c r="B70" s="163"/>
      <c r="C70" s="163"/>
      <c r="D70" s="163"/>
      <c r="E70" s="163"/>
      <c r="F70" s="163"/>
      <c r="G70" s="163"/>
      <c r="H70" s="163"/>
      <c r="I70" s="163"/>
      <c r="J70" s="163"/>
      <c r="K70" s="163"/>
      <c r="L70" s="163"/>
      <c r="M70" s="163"/>
      <c r="N70" s="163"/>
      <c r="O70" s="163"/>
      <c r="P70" s="163"/>
      <c r="Q70" s="163"/>
      <c r="R70" s="163"/>
    </row>
    <row r="71" spans="1:18" ht="15.75" customHeight="1">
      <c r="A71" s="163"/>
      <c r="B71" s="163"/>
      <c r="C71" s="163"/>
      <c r="D71" s="163"/>
      <c r="E71" s="163"/>
      <c r="F71" s="163"/>
      <c r="G71" s="163"/>
      <c r="H71" s="163"/>
      <c r="I71" s="163"/>
      <c r="J71" s="163"/>
      <c r="K71" s="163"/>
      <c r="L71" s="163"/>
      <c r="M71" s="163"/>
      <c r="N71" s="163"/>
      <c r="O71" s="163"/>
      <c r="P71" s="163"/>
      <c r="Q71" s="163"/>
      <c r="R71" s="163"/>
    </row>
    <row r="72" spans="1:18" ht="15.75" customHeight="1">
      <c r="A72" s="163"/>
      <c r="B72" s="163"/>
      <c r="C72" s="163"/>
      <c r="D72" s="163"/>
      <c r="E72" s="163"/>
      <c r="F72" s="163"/>
      <c r="G72" s="163"/>
      <c r="H72" s="163"/>
      <c r="I72" s="163"/>
      <c r="J72" s="163"/>
      <c r="K72" s="163"/>
      <c r="L72" s="163"/>
      <c r="M72" s="163"/>
      <c r="N72" s="163"/>
      <c r="O72" s="163"/>
      <c r="P72" s="163"/>
      <c r="Q72" s="163"/>
      <c r="R72" s="163"/>
    </row>
    <row r="73" spans="1:18" ht="15.75" customHeight="1">
      <c r="A73" s="163"/>
      <c r="B73" s="163"/>
      <c r="C73" s="163"/>
      <c r="D73" s="163"/>
      <c r="E73" s="163"/>
      <c r="F73" s="163"/>
      <c r="G73" s="163"/>
      <c r="H73" s="163"/>
      <c r="I73" s="163"/>
      <c r="J73" s="163"/>
      <c r="K73" s="163"/>
      <c r="L73" s="163"/>
      <c r="M73" s="163"/>
      <c r="N73" s="163"/>
      <c r="O73" s="163"/>
      <c r="P73" s="163"/>
      <c r="Q73" s="163"/>
      <c r="R73" s="163"/>
    </row>
    <row r="74" spans="1:18" ht="15.75" customHeight="1">
      <c r="A74" s="163"/>
      <c r="B74" s="163"/>
      <c r="C74" s="163"/>
      <c r="D74" s="163"/>
      <c r="E74" s="163"/>
      <c r="F74" s="163"/>
      <c r="G74" s="163"/>
      <c r="H74" s="163"/>
      <c r="I74" s="163"/>
      <c r="J74" s="163"/>
      <c r="K74" s="163"/>
      <c r="L74" s="163"/>
      <c r="M74" s="163"/>
      <c r="N74" s="163"/>
      <c r="O74" s="163"/>
      <c r="P74" s="163"/>
      <c r="Q74" s="163"/>
      <c r="R74" s="163"/>
    </row>
    <row r="75" spans="1:18" ht="15.75" customHeight="1">
      <c r="A75" s="163"/>
      <c r="B75" s="163"/>
      <c r="C75" s="163"/>
      <c r="D75" s="163"/>
      <c r="E75" s="163"/>
      <c r="F75" s="163"/>
      <c r="G75" s="163"/>
      <c r="H75" s="163"/>
      <c r="I75" s="163"/>
      <c r="J75" s="163"/>
      <c r="K75" s="163"/>
      <c r="L75" s="163"/>
      <c r="M75" s="163"/>
      <c r="N75" s="163"/>
      <c r="O75" s="163"/>
      <c r="P75" s="163"/>
      <c r="Q75" s="163"/>
      <c r="R75" s="163"/>
    </row>
    <row r="76" spans="1:18" ht="15.75" customHeight="1">
      <c r="A76" s="163"/>
      <c r="B76" s="163"/>
      <c r="C76" s="163"/>
      <c r="D76" s="163"/>
      <c r="E76" s="163"/>
      <c r="F76" s="163"/>
      <c r="G76" s="163"/>
      <c r="H76" s="163"/>
      <c r="I76" s="163"/>
      <c r="J76" s="163"/>
      <c r="K76" s="163"/>
      <c r="L76" s="163"/>
      <c r="M76" s="163"/>
      <c r="N76" s="163"/>
      <c r="O76" s="163"/>
      <c r="P76" s="163"/>
      <c r="Q76" s="163"/>
      <c r="R76" s="163"/>
    </row>
    <row r="77" spans="1:18" ht="15.75" customHeight="1">
      <c r="A77" s="163"/>
      <c r="B77" s="163"/>
      <c r="C77" s="163"/>
      <c r="D77" s="163"/>
      <c r="E77" s="163"/>
      <c r="F77" s="163"/>
      <c r="G77" s="163"/>
      <c r="H77" s="163"/>
      <c r="I77" s="163"/>
      <c r="J77" s="163"/>
      <c r="K77" s="163"/>
      <c r="L77" s="163"/>
      <c r="M77" s="163"/>
      <c r="N77" s="163"/>
      <c r="O77" s="163"/>
      <c r="P77" s="163"/>
      <c r="Q77" s="163"/>
      <c r="R77" s="163"/>
    </row>
    <row r="78" spans="1:18" ht="15.75" customHeight="1">
      <c r="A78" s="163"/>
      <c r="B78" s="163"/>
      <c r="C78" s="163"/>
      <c r="D78" s="163"/>
      <c r="E78" s="163"/>
      <c r="F78" s="163"/>
      <c r="G78" s="163"/>
      <c r="H78" s="163"/>
      <c r="I78" s="163"/>
      <c r="J78" s="163"/>
      <c r="K78" s="163"/>
      <c r="L78" s="163"/>
      <c r="M78" s="163"/>
      <c r="N78" s="163"/>
      <c r="O78" s="163"/>
      <c r="P78" s="163"/>
      <c r="Q78" s="163"/>
      <c r="R78" s="163"/>
    </row>
    <row r="79" spans="1:18" ht="15.75" customHeight="1">
      <c r="A79" s="163"/>
      <c r="B79" s="163"/>
      <c r="C79" s="163"/>
      <c r="D79" s="163"/>
      <c r="E79" s="163"/>
      <c r="F79" s="163"/>
      <c r="G79" s="163"/>
      <c r="H79" s="163"/>
      <c r="I79" s="163"/>
      <c r="J79" s="163"/>
      <c r="K79" s="163"/>
      <c r="L79" s="163"/>
      <c r="M79" s="163"/>
      <c r="N79" s="163"/>
      <c r="O79" s="163"/>
      <c r="P79" s="163"/>
      <c r="Q79" s="163"/>
      <c r="R79" s="163"/>
    </row>
    <row r="80" spans="1:18" ht="15.75" customHeight="1">
      <c r="A80" s="163"/>
      <c r="B80" s="163"/>
      <c r="C80" s="163"/>
      <c r="D80" s="163"/>
      <c r="E80" s="163"/>
      <c r="F80" s="163"/>
      <c r="G80" s="163"/>
      <c r="H80" s="163"/>
      <c r="I80" s="163"/>
      <c r="J80" s="163"/>
      <c r="K80" s="163"/>
      <c r="L80" s="163"/>
      <c r="M80" s="163"/>
      <c r="N80" s="163"/>
      <c r="O80" s="163"/>
      <c r="P80" s="163"/>
      <c r="Q80" s="163"/>
      <c r="R80" s="163"/>
    </row>
    <row r="81" spans="1:18" ht="15.75" customHeight="1">
      <c r="A81" s="163"/>
      <c r="B81" s="163"/>
      <c r="C81" s="163"/>
      <c r="D81" s="163"/>
      <c r="E81" s="163"/>
      <c r="F81" s="163"/>
      <c r="G81" s="163"/>
      <c r="H81" s="163"/>
      <c r="I81" s="163"/>
      <c r="J81" s="163"/>
      <c r="K81" s="163"/>
      <c r="L81" s="163"/>
      <c r="M81" s="163"/>
      <c r="N81" s="163"/>
      <c r="O81" s="163"/>
      <c r="P81" s="163"/>
      <c r="Q81" s="163"/>
      <c r="R81" s="163"/>
    </row>
    <row r="82" spans="1:18" ht="15.75" customHeight="1">
      <c r="A82" s="163"/>
      <c r="B82" s="163"/>
      <c r="C82" s="163"/>
      <c r="D82" s="163"/>
      <c r="E82" s="163"/>
      <c r="F82" s="163"/>
      <c r="G82" s="163"/>
      <c r="H82" s="163"/>
      <c r="I82" s="163"/>
      <c r="J82" s="163"/>
      <c r="K82" s="163"/>
      <c r="L82" s="163"/>
      <c r="M82" s="163"/>
      <c r="N82" s="163"/>
      <c r="O82" s="163"/>
      <c r="P82" s="163"/>
      <c r="Q82" s="163"/>
      <c r="R82" s="163"/>
    </row>
    <row r="83" spans="1:18" ht="15.75" customHeight="1">
      <c r="A83" s="163"/>
      <c r="B83" s="163"/>
      <c r="C83" s="163"/>
      <c r="D83" s="163"/>
      <c r="E83" s="163"/>
      <c r="F83" s="163"/>
      <c r="G83" s="163"/>
      <c r="H83" s="163"/>
      <c r="I83" s="163"/>
      <c r="J83" s="163"/>
      <c r="K83" s="163"/>
      <c r="L83" s="163"/>
      <c r="M83" s="163"/>
      <c r="N83" s="163"/>
      <c r="O83" s="163"/>
      <c r="P83" s="163"/>
      <c r="Q83" s="163"/>
      <c r="R83" s="163"/>
    </row>
    <row r="84" spans="1:18" ht="15.75" customHeight="1">
      <c r="A84" s="163"/>
      <c r="B84" s="163"/>
      <c r="C84" s="163"/>
      <c r="D84" s="163"/>
      <c r="E84" s="163"/>
      <c r="F84" s="163"/>
      <c r="G84" s="163"/>
      <c r="H84" s="163"/>
      <c r="I84" s="163"/>
      <c r="J84" s="163"/>
      <c r="K84" s="163"/>
      <c r="L84" s="163"/>
      <c r="M84" s="163"/>
      <c r="N84" s="163"/>
      <c r="O84" s="163"/>
      <c r="P84" s="163"/>
      <c r="Q84" s="163"/>
      <c r="R84" s="163"/>
    </row>
    <row r="85" spans="1:18" ht="15.75" customHeight="1">
      <c r="A85" s="163"/>
      <c r="B85" s="163"/>
      <c r="C85" s="163"/>
      <c r="D85" s="163"/>
      <c r="E85" s="163"/>
      <c r="F85" s="163"/>
      <c r="G85" s="163"/>
      <c r="H85" s="163"/>
      <c r="I85" s="163"/>
      <c r="J85" s="163"/>
      <c r="K85" s="163"/>
      <c r="L85" s="163"/>
      <c r="M85" s="163"/>
      <c r="N85" s="163"/>
      <c r="O85" s="163"/>
      <c r="P85" s="163"/>
      <c r="Q85" s="163"/>
      <c r="R85" s="163"/>
    </row>
    <row r="86" spans="1:18" ht="15.75" customHeight="1">
      <c r="A86" s="163"/>
      <c r="B86" s="163"/>
      <c r="C86" s="163"/>
      <c r="D86" s="163"/>
      <c r="E86" s="163"/>
      <c r="F86" s="163"/>
      <c r="G86" s="163"/>
      <c r="H86" s="163"/>
      <c r="I86" s="163"/>
      <c r="J86" s="163"/>
      <c r="K86" s="163"/>
      <c r="L86" s="163"/>
      <c r="M86" s="163"/>
      <c r="N86" s="163"/>
      <c r="O86" s="163"/>
      <c r="P86" s="163"/>
      <c r="Q86" s="163"/>
      <c r="R86" s="163"/>
    </row>
    <row r="87" spans="1:18" ht="15.75" customHeight="1">
      <c r="A87" s="163"/>
      <c r="B87" s="163"/>
      <c r="C87" s="163"/>
      <c r="D87" s="163"/>
      <c r="E87" s="163"/>
      <c r="F87" s="163"/>
      <c r="G87" s="163"/>
      <c r="H87" s="163"/>
      <c r="I87" s="163"/>
      <c r="J87" s="163"/>
      <c r="K87" s="163"/>
      <c r="L87" s="163"/>
      <c r="M87" s="163"/>
      <c r="N87" s="163"/>
      <c r="O87" s="163"/>
      <c r="P87" s="163"/>
      <c r="Q87" s="163"/>
      <c r="R87" s="163"/>
    </row>
    <row r="88" spans="1:18" ht="15.75" customHeight="1">
      <c r="A88" s="163"/>
      <c r="B88" s="163"/>
      <c r="C88" s="163"/>
      <c r="D88" s="163"/>
      <c r="E88" s="163"/>
      <c r="F88" s="163"/>
      <c r="G88" s="163"/>
      <c r="H88" s="163"/>
      <c r="I88" s="163"/>
      <c r="J88" s="163"/>
      <c r="K88" s="163"/>
      <c r="L88" s="163"/>
      <c r="M88" s="163"/>
      <c r="N88" s="163"/>
      <c r="O88" s="163"/>
      <c r="P88" s="163"/>
      <c r="Q88" s="163"/>
      <c r="R88" s="163"/>
    </row>
    <row r="89" spans="1:18" ht="15.75" customHeight="1">
      <c r="A89" s="163"/>
      <c r="B89" s="163"/>
      <c r="C89" s="163"/>
      <c r="D89" s="163"/>
      <c r="E89" s="163"/>
      <c r="F89" s="163"/>
      <c r="G89" s="163"/>
      <c r="H89" s="163"/>
      <c r="I89" s="163"/>
      <c r="J89" s="163"/>
      <c r="K89" s="163"/>
      <c r="L89" s="163"/>
      <c r="M89" s="163"/>
      <c r="N89" s="163"/>
      <c r="O89" s="163"/>
      <c r="P89" s="163"/>
      <c r="Q89" s="163"/>
      <c r="R89" s="163"/>
    </row>
    <row r="90" spans="1:18" ht="15.75" customHeight="1">
      <c r="A90" s="163"/>
      <c r="B90" s="163"/>
      <c r="C90" s="163"/>
      <c r="D90" s="163"/>
      <c r="E90" s="163"/>
      <c r="F90" s="163"/>
      <c r="G90" s="163"/>
      <c r="H90" s="163"/>
      <c r="I90" s="163"/>
      <c r="J90" s="163"/>
      <c r="K90" s="163"/>
      <c r="L90" s="163"/>
      <c r="M90" s="163"/>
      <c r="N90" s="163"/>
      <c r="O90" s="163"/>
      <c r="P90" s="163"/>
      <c r="Q90" s="163"/>
      <c r="R90" s="163"/>
    </row>
    <row r="91" spans="1:18" ht="15.75" customHeight="1">
      <c r="A91" s="163"/>
      <c r="B91" s="163"/>
      <c r="C91" s="163"/>
      <c r="D91" s="163"/>
      <c r="E91" s="163"/>
      <c r="F91" s="163"/>
      <c r="G91" s="163"/>
      <c r="H91" s="163"/>
      <c r="I91" s="163"/>
      <c r="J91" s="163"/>
      <c r="K91" s="163"/>
      <c r="L91" s="163"/>
      <c r="M91" s="163"/>
      <c r="N91" s="163"/>
      <c r="O91" s="163"/>
      <c r="P91" s="163"/>
      <c r="Q91" s="163"/>
      <c r="R91" s="163"/>
    </row>
    <row r="92" spans="1:18" ht="15.75" customHeight="1">
      <c r="A92" s="163"/>
      <c r="B92" s="163"/>
      <c r="C92" s="163"/>
      <c r="D92" s="163"/>
      <c r="E92" s="163"/>
      <c r="F92" s="163"/>
      <c r="G92" s="163"/>
      <c r="H92" s="163"/>
      <c r="I92" s="163"/>
      <c r="J92" s="163"/>
      <c r="K92" s="163"/>
      <c r="L92" s="163"/>
      <c r="M92" s="163"/>
      <c r="N92" s="163"/>
      <c r="O92" s="163"/>
      <c r="P92" s="163"/>
      <c r="Q92" s="163"/>
      <c r="R92" s="163"/>
    </row>
    <row r="93" spans="1:18" ht="15.75" customHeight="1">
      <c r="A93" s="163"/>
      <c r="B93" s="163"/>
      <c r="C93" s="163"/>
      <c r="D93" s="163"/>
      <c r="E93" s="163"/>
      <c r="F93" s="163"/>
      <c r="G93" s="163"/>
      <c r="H93" s="163"/>
      <c r="I93" s="163"/>
      <c r="J93" s="163"/>
      <c r="K93" s="163"/>
      <c r="L93" s="163"/>
      <c r="M93" s="163"/>
      <c r="N93" s="163"/>
      <c r="O93" s="163"/>
      <c r="P93" s="163"/>
      <c r="Q93" s="163"/>
      <c r="R93" s="163"/>
    </row>
    <row r="94" spans="1:18" ht="15.75" customHeight="1">
      <c r="A94" s="163"/>
      <c r="B94" s="163"/>
      <c r="C94" s="163"/>
      <c r="D94" s="163"/>
      <c r="E94" s="163"/>
      <c r="F94" s="163"/>
      <c r="G94" s="163"/>
      <c r="H94" s="163"/>
      <c r="I94" s="163"/>
      <c r="J94" s="163"/>
      <c r="K94" s="163"/>
      <c r="L94" s="163"/>
      <c r="M94" s="163"/>
      <c r="N94" s="163"/>
      <c r="O94" s="163"/>
      <c r="P94" s="163"/>
      <c r="Q94" s="163"/>
      <c r="R94" s="163"/>
    </row>
    <row r="95" spans="1:18" ht="15.75" customHeight="1">
      <c r="A95" s="163"/>
      <c r="B95" s="163"/>
      <c r="C95" s="163"/>
      <c r="D95" s="163"/>
      <c r="E95" s="163"/>
      <c r="F95" s="163"/>
      <c r="G95" s="163"/>
      <c r="H95" s="163"/>
      <c r="I95" s="163"/>
      <c r="J95" s="163"/>
      <c r="K95" s="163"/>
      <c r="L95" s="163"/>
      <c r="M95" s="163"/>
      <c r="N95" s="163"/>
      <c r="O95" s="163"/>
      <c r="P95" s="163"/>
      <c r="Q95" s="163"/>
      <c r="R95" s="163"/>
    </row>
    <row r="96" spans="1:18" ht="15.75" customHeight="1">
      <c r="A96" s="163"/>
      <c r="B96" s="163"/>
      <c r="C96" s="163"/>
      <c r="D96" s="163"/>
      <c r="E96" s="163"/>
      <c r="F96" s="163"/>
      <c r="G96" s="163"/>
      <c r="H96" s="163"/>
      <c r="I96" s="163"/>
      <c r="J96" s="163"/>
      <c r="K96" s="163"/>
      <c r="L96" s="163"/>
      <c r="M96" s="163"/>
      <c r="N96" s="163"/>
      <c r="O96" s="163"/>
      <c r="P96" s="163"/>
      <c r="Q96" s="163"/>
      <c r="R96" s="163"/>
    </row>
    <row r="97" spans="1:18" ht="15.75" customHeight="1">
      <c r="A97" s="163"/>
      <c r="B97" s="163"/>
      <c r="C97" s="163"/>
      <c r="D97" s="163"/>
      <c r="E97" s="163"/>
      <c r="F97" s="163"/>
      <c r="G97" s="163"/>
      <c r="H97" s="163"/>
      <c r="I97" s="163"/>
      <c r="J97" s="163"/>
      <c r="K97" s="163"/>
      <c r="L97" s="163"/>
      <c r="M97" s="163"/>
      <c r="N97" s="163"/>
      <c r="O97" s="163"/>
      <c r="P97" s="163"/>
      <c r="Q97" s="163"/>
      <c r="R97" s="163"/>
    </row>
    <row r="98" spans="1:18" ht="15.75" customHeight="1">
      <c r="A98" s="163"/>
      <c r="B98" s="163"/>
      <c r="C98" s="163"/>
      <c r="D98" s="163"/>
      <c r="E98" s="163"/>
      <c r="F98" s="163"/>
      <c r="G98" s="163"/>
      <c r="H98" s="163"/>
      <c r="I98" s="163"/>
      <c r="J98" s="163"/>
      <c r="K98" s="163"/>
      <c r="L98" s="163"/>
      <c r="M98" s="163"/>
      <c r="N98" s="163"/>
      <c r="O98" s="163"/>
      <c r="P98" s="163"/>
      <c r="Q98" s="163"/>
      <c r="R98" s="163"/>
    </row>
    <row r="99" spans="1:18" ht="15.75" customHeight="1">
      <c r="A99" s="163"/>
      <c r="B99" s="163"/>
      <c r="C99" s="163"/>
      <c r="D99" s="163"/>
      <c r="E99" s="163"/>
      <c r="F99" s="163"/>
      <c r="G99" s="163"/>
      <c r="H99" s="163"/>
      <c r="I99" s="163"/>
      <c r="J99" s="163"/>
      <c r="K99" s="163"/>
      <c r="L99" s="163"/>
      <c r="M99" s="163"/>
      <c r="N99" s="163"/>
      <c r="O99" s="163"/>
      <c r="P99" s="163"/>
      <c r="Q99" s="163"/>
      <c r="R99" s="163"/>
    </row>
    <row r="100" spans="1:18" ht="15.75" customHeight="1">
      <c r="A100" s="163"/>
      <c r="B100" s="163"/>
      <c r="C100" s="163"/>
      <c r="D100" s="163"/>
      <c r="E100" s="163"/>
      <c r="F100" s="163"/>
      <c r="G100" s="163"/>
      <c r="H100" s="163"/>
      <c r="I100" s="163"/>
      <c r="J100" s="163"/>
      <c r="K100" s="163"/>
      <c r="L100" s="163"/>
      <c r="M100" s="163"/>
      <c r="N100" s="163"/>
      <c r="O100" s="163"/>
      <c r="P100" s="163"/>
      <c r="Q100" s="163"/>
      <c r="R100" s="163"/>
    </row>
  </sheetData>
  <mergeCells count="3">
    <mergeCell ref="A1:F1"/>
    <mergeCell ref="A2:H2"/>
    <mergeCell ref="A50:I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ageMargins left="0.39370078740157483" right="0.23" top="0.74803149606299213" bottom="0.74803149606299213" header="0" footer="0"/>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opLeftCell="A7" workbookViewId="0">
      <selection activeCell="M44" sqref="M44"/>
    </sheetView>
  </sheetViews>
  <sheetFormatPr defaultColWidth="14.42578125" defaultRowHeight="15" customHeight="1"/>
  <cols>
    <col min="1" max="1" width="3.5703125" customWidth="1"/>
    <col min="2" max="2" width="30.42578125" customWidth="1"/>
    <col min="3" max="3" width="15.5703125" customWidth="1"/>
    <col min="4" max="4" width="15.7109375" customWidth="1"/>
    <col min="5" max="5" width="14.5703125" customWidth="1"/>
    <col min="6" max="6" width="14.7109375" customWidth="1"/>
    <col min="7" max="7" width="18.85546875" customWidth="1"/>
    <col min="8" max="9" width="14.85546875" customWidth="1"/>
    <col min="10" max="11" width="8.7109375" customWidth="1"/>
  </cols>
  <sheetData>
    <row r="1" spans="1:10">
      <c r="A1" s="409"/>
      <c r="B1" s="378"/>
      <c r="C1" s="378"/>
      <c r="D1" s="378"/>
      <c r="E1" s="378"/>
      <c r="F1" s="378"/>
      <c r="G1" s="378"/>
    </row>
    <row r="2" spans="1:10" ht="18.75">
      <c r="A2" s="394" t="s">
        <v>405</v>
      </c>
      <c r="B2" s="378"/>
      <c r="C2" s="378"/>
      <c r="D2" s="378"/>
      <c r="E2" s="378"/>
      <c r="F2" s="378"/>
      <c r="G2" s="378"/>
      <c r="H2" s="378"/>
      <c r="I2" s="378"/>
      <c r="J2" s="164"/>
    </row>
    <row r="4" spans="1:10">
      <c r="A4" s="192" t="s">
        <v>406</v>
      </c>
      <c r="B4" s="192" t="s">
        <v>150</v>
      </c>
      <c r="C4" s="86" t="s">
        <v>153</v>
      </c>
      <c r="D4" s="86" t="s">
        <v>154</v>
      </c>
      <c r="E4" s="86" t="s">
        <v>155</v>
      </c>
      <c r="F4" s="86" t="s">
        <v>156</v>
      </c>
      <c r="G4" s="86" t="s">
        <v>157</v>
      </c>
      <c r="H4" s="86" t="s">
        <v>158</v>
      </c>
      <c r="I4" s="86" t="s">
        <v>159</v>
      </c>
    </row>
    <row r="5" spans="1:10">
      <c r="A5" s="193">
        <v>1</v>
      </c>
      <c r="B5" s="193" t="s">
        <v>407</v>
      </c>
      <c r="C5" s="194"/>
      <c r="D5" s="194"/>
      <c r="E5" s="194"/>
      <c r="F5" s="194"/>
      <c r="G5" s="194"/>
      <c r="H5" s="194"/>
      <c r="I5" s="194"/>
    </row>
    <row r="6" spans="1:10">
      <c r="A6" s="193"/>
      <c r="B6" s="195" t="s">
        <v>408</v>
      </c>
      <c r="C6" s="194">
        <f>'6.Cons Profit &amp; Loss'!B15</f>
        <v>142583102.5</v>
      </c>
      <c r="D6" s="194">
        <f>'6.Cons Profit &amp; Loss'!C15</f>
        <v>179168062.5</v>
      </c>
      <c r="E6" s="194">
        <f>'6.Cons Profit &amp; Loss'!D15</f>
        <v>190983870</v>
      </c>
      <c r="F6" s="194">
        <f>'6.Cons Profit &amp; Loss'!E15</f>
        <v>200533063.50000006</v>
      </c>
      <c r="G6" s="194">
        <f>'6.Cons Profit &amp; Loss'!F15</f>
        <v>210559716.67500004</v>
      </c>
      <c r="H6" s="194">
        <f>'6.Cons Profit &amp; Loss'!G15</f>
        <v>221087702.50875005</v>
      </c>
      <c r="I6" s="194">
        <f>'6.Cons Profit &amp; Loss'!H15</f>
        <v>232142087.63418758</v>
      </c>
    </row>
    <row r="7" spans="1:10">
      <c r="A7" s="193">
        <v>2</v>
      </c>
      <c r="B7" s="193" t="s">
        <v>409</v>
      </c>
      <c r="C7" s="194">
        <f>'1.Project Cost and MOF'!E21</f>
        <v>1904899</v>
      </c>
      <c r="D7" s="194"/>
      <c r="E7" s="194"/>
      <c r="F7" s="194"/>
      <c r="G7" s="194"/>
      <c r="H7" s="194"/>
      <c r="I7" s="194"/>
    </row>
    <row r="8" spans="1:10">
      <c r="A8" s="193"/>
      <c r="B8" s="193" t="s">
        <v>410</v>
      </c>
      <c r="C8" s="194"/>
      <c r="D8" s="194"/>
      <c r="E8" s="194"/>
      <c r="F8" s="194"/>
      <c r="G8" s="194"/>
      <c r="H8" s="194"/>
      <c r="I8" s="194"/>
    </row>
    <row r="9" spans="1:10">
      <c r="A9" s="193">
        <v>3</v>
      </c>
      <c r="B9" s="193" t="str">
        <f>'7.Balance Sheet'!A34</f>
        <v>Smart Grant -in-Aid</v>
      </c>
      <c r="C9" s="194">
        <f>'1.Project Cost and MOF'!E19</f>
        <v>5714697</v>
      </c>
      <c r="D9" s="194"/>
      <c r="E9" s="194"/>
      <c r="F9" s="194"/>
      <c r="G9" s="194"/>
      <c r="H9" s="194"/>
      <c r="I9" s="194"/>
    </row>
    <row r="10" spans="1:10">
      <c r="A10" s="193">
        <v>4</v>
      </c>
      <c r="B10" s="193" t="s">
        <v>411</v>
      </c>
      <c r="C10" s="194">
        <f>'1.Project Cost and MOF'!E20</f>
        <v>1904899</v>
      </c>
      <c r="D10" s="194"/>
      <c r="E10" s="194"/>
      <c r="F10" s="194"/>
      <c r="G10" s="194"/>
      <c r="H10" s="194"/>
      <c r="I10" s="194"/>
    </row>
    <row r="11" spans="1:10">
      <c r="A11" s="193">
        <v>5</v>
      </c>
      <c r="B11" s="193" t="s">
        <v>412</v>
      </c>
      <c r="C11" s="194">
        <f>'5.Closing Stock &amp; W Capital'!E55*75%</f>
        <v>7543058.2656555763</v>
      </c>
      <c r="D11" s="194">
        <f>'5.Closing Stock &amp; W Capital'!F55</f>
        <v>12038502.497716894</v>
      </c>
      <c r="E11" s="194">
        <f>'5.Closing Stock &amp; W Capital'!G55</f>
        <v>12715712.138356164</v>
      </c>
      <c r="F11" s="194">
        <f>'5.Closing Stock &amp; W Capital'!H55</f>
        <v>13351497.745273976</v>
      </c>
      <c r="G11" s="194">
        <f>'5.Closing Stock &amp; W Capital'!I55</f>
        <v>14019072.632537672</v>
      </c>
      <c r="H11" s="194">
        <f>'5.Closing Stock &amp; W Capital'!J55</f>
        <v>14720026.26416456</v>
      </c>
      <c r="I11" s="194">
        <f>'5.Closing Stock &amp; W Capital'!K55</f>
        <v>15456027.577372788</v>
      </c>
    </row>
    <row r="12" spans="1:10">
      <c r="A12" s="193"/>
      <c r="B12" s="193" t="s">
        <v>413</v>
      </c>
      <c r="C12" s="196">
        <f t="shared" ref="C12:I12" si="0">SUM(C6:C11)</f>
        <v>159650655.76565558</v>
      </c>
      <c r="D12" s="196">
        <f t="shared" si="0"/>
        <v>191206564.9977169</v>
      </c>
      <c r="E12" s="196">
        <f t="shared" si="0"/>
        <v>203699582.13835615</v>
      </c>
      <c r="F12" s="196">
        <f t="shared" si="0"/>
        <v>213884561.24527404</v>
      </c>
      <c r="G12" s="196">
        <f t="shared" si="0"/>
        <v>224578789.3075377</v>
      </c>
      <c r="H12" s="196">
        <f t="shared" si="0"/>
        <v>235807728.77291462</v>
      </c>
      <c r="I12" s="196">
        <f t="shared" si="0"/>
        <v>247598115.21156037</v>
      </c>
    </row>
    <row r="13" spans="1:10">
      <c r="A13" s="424" t="s">
        <v>414</v>
      </c>
      <c r="B13" s="383"/>
      <c r="C13" s="197"/>
      <c r="D13" s="197"/>
      <c r="E13" s="197"/>
      <c r="F13" s="197"/>
      <c r="G13" s="197"/>
      <c r="H13" s="197"/>
      <c r="I13" s="197"/>
    </row>
    <row r="14" spans="1:10">
      <c r="A14" s="193">
        <v>1</v>
      </c>
      <c r="B14" s="193" t="s">
        <v>415</v>
      </c>
      <c r="C14" s="197"/>
      <c r="D14" s="197"/>
      <c r="E14" s="197"/>
      <c r="F14" s="197"/>
      <c r="G14" s="197"/>
      <c r="H14" s="197"/>
      <c r="I14" s="197"/>
    </row>
    <row r="15" spans="1:10">
      <c r="A15" s="198" t="s">
        <v>416</v>
      </c>
      <c r="B15" s="197">
        <v>0</v>
      </c>
      <c r="C15" s="199">
        <f>'1.Project Cost and MOF'!D5</f>
        <v>4332495</v>
      </c>
      <c r="D15" s="199"/>
      <c r="E15" s="199"/>
      <c r="F15" s="199"/>
      <c r="G15" s="199"/>
      <c r="H15" s="199"/>
      <c r="I15" s="199"/>
    </row>
    <row r="16" spans="1:10">
      <c r="A16" s="198" t="s">
        <v>417</v>
      </c>
      <c r="B16" s="153">
        <v>0</v>
      </c>
      <c r="C16" s="199">
        <f>'1.Project Cost and MOF'!D6</f>
        <v>4392000</v>
      </c>
      <c r="D16" s="199"/>
      <c r="E16" s="199"/>
      <c r="F16" s="199"/>
      <c r="G16" s="199"/>
      <c r="H16" s="199"/>
      <c r="I16" s="199"/>
    </row>
    <row r="17" spans="1:9">
      <c r="A17" s="198" t="s">
        <v>418</v>
      </c>
      <c r="B17" s="153" t="s">
        <v>419</v>
      </c>
      <c r="C17" s="199">
        <f>'1.Project Cost and MOF'!D7</f>
        <v>550000</v>
      </c>
      <c r="D17" s="199"/>
      <c r="E17" s="199"/>
      <c r="F17" s="199"/>
      <c r="G17" s="199"/>
      <c r="H17" s="199"/>
      <c r="I17" s="199"/>
    </row>
    <row r="18" spans="1:9">
      <c r="A18" s="198" t="s">
        <v>420</v>
      </c>
      <c r="B18" s="153" t="s">
        <v>421</v>
      </c>
      <c r="C18" s="199">
        <f>'1.Project Cost and MOF'!D8</f>
        <v>150000</v>
      </c>
      <c r="D18" s="199"/>
      <c r="E18" s="199"/>
      <c r="F18" s="199"/>
      <c r="G18" s="199"/>
      <c r="H18" s="199"/>
      <c r="I18" s="199"/>
    </row>
    <row r="19" spans="1:9">
      <c r="A19" s="198" t="s">
        <v>422</v>
      </c>
      <c r="B19" s="153" t="s">
        <v>196</v>
      </c>
      <c r="C19" s="199">
        <f>'1.Project Cost and MOF'!D9</f>
        <v>0</v>
      </c>
      <c r="D19" s="194"/>
      <c r="E19" s="194"/>
      <c r="F19" s="194"/>
      <c r="G19" s="194"/>
      <c r="H19" s="194"/>
      <c r="I19" s="194"/>
    </row>
    <row r="20" spans="1:9">
      <c r="A20" s="198" t="s">
        <v>423</v>
      </c>
      <c r="B20" s="153" t="s">
        <v>424</v>
      </c>
      <c r="C20" s="199">
        <f>'1.Project Cost and MOF'!D10</f>
        <v>100000</v>
      </c>
      <c r="D20" s="194"/>
      <c r="E20" s="194"/>
      <c r="F20" s="194"/>
      <c r="G20" s="194"/>
      <c r="H20" s="194"/>
      <c r="I20" s="194"/>
    </row>
    <row r="21" spans="1:9" ht="15.75" customHeight="1">
      <c r="A21" s="193">
        <v>2</v>
      </c>
      <c r="B21" s="193" t="s">
        <v>425</v>
      </c>
      <c r="C21" s="197"/>
      <c r="D21" s="197"/>
      <c r="E21" s="197"/>
      <c r="F21" s="197"/>
      <c r="G21" s="197"/>
      <c r="H21" s="197"/>
      <c r="I21" s="197"/>
    </row>
    <row r="22" spans="1:9" ht="15.75" customHeight="1">
      <c r="A22" s="198" t="s">
        <v>416</v>
      </c>
      <c r="B22" s="197" t="s">
        <v>358</v>
      </c>
      <c r="C22" s="194">
        <f>'6.Cons Profit &amp; Loss'!B25</f>
        <v>137396212.14285713</v>
      </c>
      <c r="D22" s="194">
        <f>'6.Cons Profit &amp; Loss'!C25</f>
        <v>172747508.15476191</v>
      </c>
      <c r="E22" s="194">
        <f>'6.Cons Profit &amp; Loss'!D25</f>
        <v>183174142.5625</v>
      </c>
      <c r="F22" s="194">
        <f>'6.Cons Profit &amp; Loss'!E25</f>
        <v>192332849.69062507</v>
      </c>
      <c r="G22" s="194">
        <f>'6.Cons Profit &amp; Loss'!F25</f>
        <v>201949492.1751563</v>
      </c>
      <c r="H22" s="194">
        <f>'6.Cons Profit &amp; Loss'!G25</f>
        <v>212046966.78391409</v>
      </c>
      <c r="I22" s="194">
        <f>'6.Cons Profit &amp; Loss'!H25</f>
        <v>222649315.12310985</v>
      </c>
    </row>
    <row r="23" spans="1:9" ht="15.75" customHeight="1">
      <c r="A23" s="198" t="s">
        <v>417</v>
      </c>
      <c r="B23" s="197" t="s">
        <v>360</v>
      </c>
      <c r="C23" s="194">
        <f>'6.Cons Profit &amp; Loss'!B36</f>
        <v>2106000</v>
      </c>
      <c r="D23" s="194">
        <f>'6.Cons Profit &amp; Loss'!C36</f>
        <v>2211300</v>
      </c>
      <c r="E23" s="194">
        <f>'6.Cons Profit &amp; Loss'!D36</f>
        <v>2321865</v>
      </c>
      <c r="F23" s="194">
        <f>'6.Cons Profit &amp; Loss'!E36</f>
        <v>2437958.2500000005</v>
      </c>
      <c r="G23" s="194">
        <f>'6.Cons Profit &amp; Loss'!F36</f>
        <v>2559856.1625000006</v>
      </c>
      <c r="H23" s="194">
        <f>'6.Cons Profit &amp; Loss'!G36</f>
        <v>2687848.9706250005</v>
      </c>
      <c r="I23" s="194">
        <f>'6.Cons Profit &amp; Loss'!H36</f>
        <v>2822241.419156251</v>
      </c>
    </row>
    <row r="24" spans="1:9" ht="15.75" customHeight="1">
      <c r="A24" s="200">
        <v>3</v>
      </c>
      <c r="B24" s="193" t="s">
        <v>426</v>
      </c>
      <c r="C24" s="194"/>
      <c r="D24" s="194"/>
      <c r="E24" s="194"/>
      <c r="F24" s="194"/>
      <c r="G24" s="194"/>
      <c r="H24" s="194"/>
      <c r="I24" s="194"/>
    </row>
    <row r="25" spans="1:9" ht="15.75" customHeight="1">
      <c r="A25" s="198"/>
      <c r="B25" s="197" t="s">
        <v>427</v>
      </c>
      <c r="C25" s="194">
        <f>SUM('4.TL repayment sch'!E10:E21)</f>
        <v>178602.737489919</v>
      </c>
      <c r="D25" s="194">
        <f>SUM('4.TL repayment sch'!E22:E33)</f>
        <v>203255.7165686845</v>
      </c>
      <c r="E25" s="194">
        <f>SUM('4.TL repayment sch'!E34:E45)</f>
        <v>231311.60752886711</v>
      </c>
      <c r="F25" s="194">
        <f>SUM('4.TL repayment sch'!E46:E57)</f>
        <v>263240.1227421721</v>
      </c>
      <c r="G25" s="194">
        <f>SUM('4.TL repayment sch'!E58:E69)</f>
        <v>299575.81014461606</v>
      </c>
      <c r="H25" s="194">
        <f>SUM('4.TL repayment sch'!E70:E81)</f>
        <v>340927.00265036541</v>
      </c>
      <c r="I25" s="194">
        <f>SUM('4.TL repayment sch'!E82:E93)</f>
        <v>387986.00287537655</v>
      </c>
    </row>
    <row r="26" spans="1:9" ht="15.75" customHeight="1">
      <c r="A26" s="198"/>
      <c r="B26" s="197" t="s">
        <v>428</v>
      </c>
      <c r="C26" s="194">
        <f>SUM('4.TL repayment sch'!D10:D21)</f>
        <v>237243.49600351418</v>
      </c>
      <c r="D26" s="194">
        <f>SUM('4.TL repayment sch'!D22:D33)</f>
        <v>212590.51692474866</v>
      </c>
      <c r="E26" s="194">
        <f>SUM('4.TL repayment sch'!D34:D45)</f>
        <v>184534.62596456605</v>
      </c>
      <c r="F26" s="194">
        <f>SUM('4.TL repayment sch'!D46:D57)</f>
        <v>152606.11075126112</v>
      </c>
      <c r="G26" s="194">
        <f>SUM('4.TL repayment sch'!D58:D69)</f>
        <v>116270.42334881719</v>
      </c>
      <c r="H26" s="194">
        <f>SUM('4.TL repayment sch'!D70:D81)</f>
        <v>74919.230843067824</v>
      </c>
      <c r="I26" s="194">
        <f>SUM('4.TL repayment sch'!D82:D93)</f>
        <v>27860.230618056656</v>
      </c>
    </row>
    <row r="27" spans="1:9" ht="15.75" customHeight="1">
      <c r="A27" s="198"/>
      <c r="B27" s="197" t="s">
        <v>429</v>
      </c>
      <c r="C27" s="194">
        <f t="shared" ref="C27:I27" si="1">C11</f>
        <v>7543058.2656555763</v>
      </c>
      <c r="D27" s="194">
        <f t="shared" si="1"/>
        <v>12038502.497716894</v>
      </c>
      <c r="E27" s="194">
        <f t="shared" si="1"/>
        <v>12715712.138356164</v>
      </c>
      <c r="F27" s="194">
        <f t="shared" si="1"/>
        <v>13351497.745273976</v>
      </c>
      <c r="G27" s="194">
        <f t="shared" si="1"/>
        <v>14019072.632537672</v>
      </c>
      <c r="H27" s="194">
        <f t="shared" si="1"/>
        <v>14720026.26416456</v>
      </c>
      <c r="I27" s="194">
        <f t="shared" si="1"/>
        <v>15456027.577372788</v>
      </c>
    </row>
    <row r="28" spans="1:9" ht="15.75" customHeight="1">
      <c r="A28" s="198"/>
      <c r="B28" s="197" t="s">
        <v>430</v>
      </c>
      <c r="C28" s="201">
        <f t="shared" ref="C28:I28" si="2">C27*12%</f>
        <v>905166.99187866913</v>
      </c>
      <c r="D28" s="201">
        <f t="shared" si="2"/>
        <v>1444620.2997260273</v>
      </c>
      <c r="E28" s="201">
        <f t="shared" si="2"/>
        <v>1525885.4566027396</v>
      </c>
      <c r="F28" s="201">
        <f t="shared" si="2"/>
        <v>1602179.7294328769</v>
      </c>
      <c r="G28" s="201">
        <f t="shared" si="2"/>
        <v>1682288.7159045206</v>
      </c>
      <c r="H28" s="201">
        <f t="shared" si="2"/>
        <v>1766403.1516997472</v>
      </c>
      <c r="I28" s="201">
        <f t="shared" si="2"/>
        <v>1854723.3092847345</v>
      </c>
    </row>
    <row r="29" spans="1:9" ht="15.75" customHeight="1">
      <c r="A29" s="193">
        <v>4</v>
      </c>
      <c r="B29" s="193" t="s">
        <v>431</v>
      </c>
      <c r="C29" s="194">
        <f>'6.Cons Profit &amp; Loss'!B50</f>
        <v>184971.89600777745</v>
      </c>
      <c r="D29" s="194">
        <f>'6.Cons Profit &amp; Loss'!C50</f>
        <v>389126.13443270163</v>
      </c>
      <c r="E29" s="194">
        <f>'6.Cons Profit &amp; Loss'!D50</f>
        <v>744738.08758250077</v>
      </c>
      <c r="F29" s="194">
        <f>'6.Cons Profit &amp; Loss'!E50</f>
        <v>835637.47375962092</v>
      </c>
      <c r="G29" s="194">
        <f>'6.Cons Profit &amp; Loss'!F50</f>
        <v>925546.69574650784</v>
      </c>
      <c r="H29" s="194">
        <f>'6.Cons Profit &amp; Loss'!G50</f>
        <v>1020832.6087799149</v>
      </c>
      <c r="I29" s="194">
        <f>'6.Cons Profit &amp; Loss'!H50</f>
        <v>1112073.6350348138</v>
      </c>
    </row>
    <row r="30" spans="1:9" ht="15.75" customHeight="1">
      <c r="A30" s="193"/>
      <c r="B30" s="193" t="s">
        <v>432</v>
      </c>
      <c r="C30" s="196">
        <f t="shared" ref="C30:I30" si="3">SUM(C15:C29)</f>
        <v>158075750.52989256</v>
      </c>
      <c r="D30" s="196">
        <f t="shared" si="3"/>
        <v>189246903.32013097</v>
      </c>
      <c r="E30" s="196">
        <f t="shared" si="3"/>
        <v>200898189.47853485</v>
      </c>
      <c r="F30" s="196">
        <f t="shared" si="3"/>
        <v>210975969.122585</v>
      </c>
      <c r="G30" s="196">
        <f t="shared" si="3"/>
        <v>221552102.61533841</v>
      </c>
      <c r="H30" s="196">
        <f t="shared" si="3"/>
        <v>232657924.01267678</v>
      </c>
      <c r="I30" s="196">
        <f t="shared" si="3"/>
        <v>244310227.29745188</v>
      </c>
    </row>
    <row r="31" spans="1:9" ht="15.75" customHeight="1">
      <c r="A31" s="193"/>
      <c r="B31" s="193" t="s">
        <v>433</v>
      </c>
      <c r="C31" s="196">
        <f t="shared" ref="C31:I31" si="4">C12-C30</f>
        <v>1574905.2357630134</v>
      </c>
      <c r="D31" s="196">
        <f t="shared" si="4"/>
        <v>1959661.6775859296</v>
      </c>
      <c r="E31" s="196">
        <f t="shared" si="4"/>
        <v>2801392.6598213017</v>
      </c>
      <c r="F31" s="196">
        <f t="shared" si="4"/>
        <v>2908592.1226890385</v>
      </c>
      <c r="G31" s="196">
        <f t="shared" si="4"/>
        <v>3026686.6921992898</v>
      </c>
      <c r="H31" s="196">
        <f t="shared" si="4"/>
        <v>3149804.7602378428</v>
      </c>
      <c r="I31" s="196">
        <f t="shared" si="4"/>
        <v>3287887.914108485</v>
      </c>
    </row>
    <row r="32" spans="1:9" ht="15.75" customHeight="1">
      <c r="A32" s="200"/>
      <c r="B32" s="197" t="s">
        <v>434</v>
      </c>
      <c r="C32" s="197"/>
      <c r="D32" s="194">
        <f t="shared" ref="D32:I32" si="5">C33</f>
        <v>1574905.2357630134</v>
      </c>
      <c r="E32" s="194">
        <f t="shared" si="5"/>
        <v>3534566.913348943</v>
      </c>
      <c r="F32" s="194">
        <f t="shared" si="5"/>
        <v>6335959.5731702447</v>
      </c>
      <c r="G32" s="194">
        <f t="shared" si="5"/>
        <v>9244551.6958592832</v>
      </c>
      <c r="H32" s="194">
        <f t="shared" si="5"/>
        <v>12271238.388058573</v>
      </c>
      <c r="I32" s="194">
        <f t="shared" si="5"/>
        <v>15421043.148296416</v>
      </c>
    </row>
    <row r="33" spans="1:10" ht="15.75" customHeight="1">
      <c r="A33" s="193"/>
      <c r="B33" s="202" t="s">
        <v>435</v>
      </c>
      <c r="C33" s="196">
        <f t="shared" ref="C33:I33" si="6">C31+C32</f>
        <v>1574905.2357630134</v>
      </c>
      <c r="D33" s="196">
        <f t="shared" si="6"/>
        <v>3534566.913348943</v>
      </c>
      <c r="E33" s="196">
        <f t="shared" si="6"/>
        <v>6335959.5731702447</v>
      </c>
      <c r="F33" s="196">
        <f t="shared" si="6"/>
        <v>9244551.6958592832</v>
      </c>
      <c r="G33" s="196">
        <f t="shared" si="6"/>
        <v>12271238.388058573</v>
      </c>
      <c r="H33" s="196">
        <f t="shared" si="6"/>
        <v>15421043.148296416</v>
      </c>
      <c r="I33" s="196">
        <f t="shared" si="6"/>
        <v>18708931.062404901</v>
      </c>
    </row>
    <row r="34" spans="1:10" ht="15.75" customHeight="1"/>
    <row r="35" spans="1:10" ht="39.75" customHeight="1">
      <c r="A35" s="425" t="s">
        <v>436</v>
      </c>
      <c r="B35" s="378"/>
      <c r="C35" s="378"/>
      <c r="D35" s="378"/>
      <c r="E35" s="378"/>
      <c r="F35" s="378"/>
      <c r="G35" s="378"/>
      <c r="H35" s="378"/>
      <c r="I35" s="378"/>
      <c r="J35" s="378"/>
    </row>
    <row r="36" spans="1:10" ht="15.75" customHeight="1"/>
    <row r="37" spans="1:10" ht="15.75" customHeight="1">
      <c r="C37" s="160"/>
    </row>
    <row r="38" spans="1:10" ht="15.75" customHeight="1">
      <c r="C38" s="160"/>
    </row>
    <row r="39" spans="1:10" ht="15.75" customHeight="1">
      <c r="C39" s="160"/>
    </row>
    <row r="40" spans="1:10" ht="15.75" customHeight="1">
      <c r="C40" s="160"/>
    </row>
    <row r="41" spans="1:10" ht="15.75" customHeight="1">
      <c r="C41" s="160"/>
    </row>
    <row r="42" spans="1:10" ht="15.75" customHeight="1"/>
    <row r="43" spans="1:10" ht="15.75" customHeight="1"/>
    <row r="44" spans="1:10" ht="15.75" customHeight="1"/>
    <row r="45" spans="1:10" ht="15.75" customHeight="1"/>
    <row r="46" spans="1:10" ht="15.75" customHeight="1"/>
    <row r="47" spans="1:10" ht="15.75" customHeight="1"/>
    <row r="48" spans="1:10"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ageMargins left="0.27" right="0.23" top="0.74803149606299213" bottom="0.74803149606299213" header="0" footer="0"/>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MANAV ALLOYS PVT LTD</dc:creator>
  <cp:lastModifiedBy>Pankaj Kothari</cp:lastModifiedBy>
  <cp:lastPrinted>2022-12-10T05:41:25Z</cp:lastPrinted>
  <dcterms:created xsi:type="dcterms:W3CDTF">2006-09-16T00:00:00Z</dcterms:created>
  <dcterms:modified xsi:type="dcterms:W3CDTF">2023-01-21T09:46:14Z</dcterms:modified>
</cp:coreProperties>
</file>